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ovsd-archive\My Documents\Alison\26-27 Budget Working Drafts\"/>
    </mc:Choice>
  </mc:AlternateContent>
  <xr:revisionPtr revIDLastSave="0" documentId="13_ncr:1_{5460FEFD-7240-4949-ABE8-1282FA1E94CE}" xr6:coauthVersionLast="47" xr6:coauthVersionMax="47" xr10:uidLastSave="{00000000-0000-0000-0000-000000000000}"/>
  <bookViews>
    <workbookView xWindow="28680" yWindow="-120" windowWidth="29040" windowHeight="16440" xr2:uid="{0AEDBE43-A17F-4E8B-97F2-F329B364B1B3}"/>
  </bookViews>
  <sheets>
    <sheet name="Techite" sheetId="1" r:id="rId1"/>
    <sheet name="2026 Pipe Bursting-v1" sheetId="2" r:id="rId2"/>
    <sheet name="2026 PB-Rancho Only" sheetId="5" r:id="rId3"/>
    <sheet name="2026 PB-Alto Only" sheetId="6" r:id="rId4"/>
    <sheet name="2026 PB-Feliz Only" sheetId="7" r:id="rId5"/>
    <sheet name="OCR Rehab" sheetId="3" r:id="rId6"/>
    <sheet name="Ojai ACP Rehab" sheetId="4" r:id="rId7"/>
    <sheet name="2026-27 Summary" sheetId="8" r:id="rId8"/>
    <sheet name="2025-2026 summar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8" l="1"/>
  <c r="B8" i="9"/>
  <c r="D4" i="8"/>
  <c r="D5" i="8"/>
  <c r="D6" i="8" s="1"/>
  <c r="C8" i="8"/>
  <c r="D3" i="8" l="1"/>
  <c r="D2" i="8"/>
  <c r="C18" i="7"/>
  <c r="H4" i="7"/>
  <c r="C14" i="7" s="1"/>
  <c r="D22" i="7"/>
  <c r="C20" i="7"/>
  <c r="C19" i="7"/>
  <c r="R16" i="7"/>
  <c r="N7" i="7"/>
  <c r="M7" i="7"/>
  <c r="L7" i="7"/>
  <c r="O6" i="7"/>
  <c r="N6" i="7"/>
  <c r="M6" i="7"/>
  <c r="L6" i="7"/>
  <c r="K6" i="7"/>
  <c r="J6" i="7"/>
  <c r="I6" i="7"/>
  <c r="C17" i="7" s="1"/>
  <c r="O5" i="7"/>
  <c r="O7" i="7" s="1"/>
  <c r="N5" i="7"/>
  <c r="M5" i="7"/>
  <c r="L5" i="7"/>
  <c r="K5" i="7"/>
  <c r="J5" i="7"/>
  <c r="I5" i="7"/>
  <c r="H4" i="6"/>
  <c r="C14" i="6" s="1"/>
  <c r="D22" i="6"/>
  <c r="C20" i="6"/>
  <c r="C19" i="6"/>
  <c r="R16" i="6"/>
  <c r="O7" i="6"/>
  <c r="N7" i="6"/>
  <c r="M7" i="6"/>
  <c r="L7" i="6"/>
  <c r="O6" i="6"/>
  <c r="N6" i="6"/>
  <c r="M6" i="6"/>
  <c r="L6" i="6"/>
  <c r="K6" i="6"/>
  <c r="J6" i="6"/>
  <c r="I6" i="6"/>
  <c r="C17" i="6" s="1"/>
  <c r="O5" i="6"/>
  <c r="N5" i="6"/>
  <c r="M5" i="6"/>
  <c r="L5" i="6"/>
  <c r="K5" i="6"/>
  <c r="J5" i="6"/>
  <c r="I5" i="6"/>
  <c r="H4" i="5"/>
  <c r="C14" i="5" s="1"/>
  <c r="D22" i="5"/>
  <c r="C20" i="5"/>
  <c r="C19" i="5"/>
  <c r="R16" i="5"/>
  <c r="O7" i="5"/>
  <c r="N7" i="5"/>
  <c r="M7" i="5"/>
  <c r="L7" i="5"/>
  <c r="O6" i="5"/>
  <c r="N6" i="5"/>
  <c r="M6" i="5"/>
  <c r="L6" i="5"/>
  <c r="K6" i="5"/>
  <c r="J6" i="5"/>
  <c r="I6" i="5"/>
  <c r="C17" i="5" s="1"/>
  <c r="O5" i="5"/>
  <c r="N5" i="5"/>
  <c r="M5" i="5"/>
  <c r="L5" i="5"/>
  <c r="K5" i="5"/>
  <c r="J5" i="5"/>
  <c r="I5" i="5"/>
  <c r="C31" i="4"/>
  <c r="C30" i="4"/>
  <c r="C29" i="4"/>
  <c r="C31" i="3"/>
  <c r="C30" i="3"/>
  <c r="C32" i="3" s="1"/>
  <c r="C29" i="3"/>
  <c r="C9" i="4"/>
  <c r="C19" i="4"/>
  <c r="C18" i="4"/>
  <c r="C15" i="4"/>
  <c r="C14" i="4"/>
  <c r="C19" i="2"/>
  <c r="C18" i="3"/>
  <c r="C13" i="3" s="1"/>
  <c r="H5" i="4"/>
  <c r="I5" i="4"/>
  <c r="J5" i="4"/>
  <c r="K5" i="4"/>
  <c r="L5" i="4"/>
  <c r="M5" i="4"/>
  <c r="H4" i="4"/>
  <c r="I4" i="4"/>
  <c r="J4" i="4"/>
  <c r="K4" i="4"/>
  <c r="L4" i="4"/>
  <c r="M4" i="4"/>
  <c r="G5" i="4"/>
  <c r="G4" i="4"/>
  <c r="R15" i="4"/>
  <c r="D21" i="4"/>
  <c r="J3" i="4"/>
  <c r="C16" i="3"/>
  <c r="C15" i="3"/>
  <c r="C14" i="3"/>
  <c r="C9" i="3"/>
  <c r="C19" i="3"/>
  <c r="H5" i="3"/>
  <c r="I5" i="3"/>
  <c r="J5" i="3"/>
  <c r="K5" i="3"/>
  <c r="L5" i="3"/>
  <c r="M5" i="3"/>
  <c r="G5" i="3"/>
  <c r="C17" i="3" s="1"/>
  <c r="H4" i="3"/>
  <c r="I4" i="3"/>
  <c r="J4" i="3"/>
  <c r="K4" i="3"/>
  <c r="L4" i="3"/>
  <c r="M4" i="3"/>
  <c r="G4" i="3"/>
  <c r="R15" i="3"/>
  <c r="D21" i="3"/>
  <c r="L3" i="3"/>
  <c r="D22" i="2"/>
  <c r="C20" i="2"/>
  <c r="R16" i="2"/>
  <c r="C14" i="2"/>
  <c r="H10" i="2"/>
  <c r="C10" i="2"/>
  <c r="C9" i="2"/>
  <c r="O7" i="2"/>
  <c r="N7" i="2"/>
  <c r="M7" i="2"/>
  <c r="L7" i="2"/>
  <c r="H7" i="2"/>
  <c r="C18" i="2" s="1"/>
  <c r="O6" i="2"/>
  <c r="N6" i="2"/>
  <c r="M6" i="2"/>
  <c r="L6" i="2"/>
  <c r="K6" i="2"/>
  <c r="J6" i="2"/>
  <c r="I6" i="2"/>
  <c r="C17" i="2" s="1"/>
  <c r="O5" i="2"/>
  <c r="N5" i="2"/>
  <c r="M5" i="2"/>
  <c r="L5" i="2"/>
  <c r="K5" i="2"/>
  <c r="J5" i="2"/>
  <c r="I5" i="2"/>
  <c r="H4" i="2"/>
  <c r="H5" i="2" s="1"/>
  <c r="C16" i="2" s="1"/>
  <c r="D21" i="1"/>
  <c r="C19" i="1"/>
  <c r="C15" i="1"/>
  <c r="P14" i="1"/>
  <c r="C14" i="1"/>
  <c r="C9" i="1"/>
  <c r="M5" i="1"/>
  <c r="L5" i="1"/>
  <c r="I5" i="1"/>
  <c r="H5" i="1"/>
  <c r="G5" i="1"/>
  <c r="M4" i="1"/>
  <c r="L4" i="1"/>
  <c r="I4" i="1"/>
  <c r="H4" i="1"/>
  <c r="G4" i="1"/>
  <c r="K3" i="1"/>
  <c r="K5" i="1" s="1"/>
  <c r="J3" i="1"/>
  <c r="J5" i="1" s="1"/>
  <c r="C17" i="1" s="1"/>
  <c r="H5" i="7" l="1"/>
  <c r="C16" i="7" s="1"/>
  <c r="H7" i="7"/>
  <c r="C9" i="7"/>
  <c r="C10" i="7"/>
  <c r="H10" i="7"/>
  <c r="C13" i="7"/>
  <c r="H5" i="6"/>
  <c r="C16" i="6" s="1"/>
  <c r="C13" i="6" s="1"/>
  <c r="H7" i="6"/>
  <c r="C18" i="6" s="1"/>
  <c r="C9" i="6"/>
  <c r="C10" i="6"/>
  <c r="H10" i="6"/>
  <c r="C9" i="5"/>
  <c r="C10" i="5"/>
  <c r="H5" i="5"/>
  <c r="C16" i="5" s="1"/>
  <c r="H10" i="5"/>
  <c r="H7" i="5"/>
  <c r="C18" i="5" s="1"/>
  <c r="C13" i="5" s="1"/>
  <c r="C32" i="4"/>
  <c r="C13" i="4"/>
  <c r="C3" i="4" s="1"/>
  <c r="C13" i="2"/>
  <c r="C16" i="4"/>
  <c r="C17" i="4"/>
  <c r="C6" i="2"/>
  <c r="C3" i="2"/>
  <c r="C8" i="2"/>
  <c r="C7" i="2"/>
  <c r="C30" i="2" s="1"/>
  <c r="J4" i="1"/>
  <c r="K4" i="1"/>
  <c r="C6" i="7" l="1"/>
  <c r="C3" i="7"/>
  <c r="C8" i="7"/>
  <c r="C7" i="7"/>
  <c r="C30" i="7" s="1"/>
  <c r="C6" i="6"/>
  <c r="C3" i="6"/>
  <c r="C8" i="6"/>
  <c r="C7" i="6"/>
  <c r="C6" i="5"/>
  <c r="C3" i="5"/>
  <c r="C8" i="5"/>
  <c r="C7" i="5"/>
  <c r="C29" i="2"/>
  <c r="C21" i="2"/>
  <c r="C31" i="2" s="1"/>
  <c r="C16" i="1"/>
  <c r="C13" i="1" s="1"/>
  <c r="C29" i="7" l="1"/>
  <c r="C21" i="7"/>
  <c r="C31" i="7" s="1"/>
  <c r="C30" i="6"/>
  <c r="C21" i="6"/>
  <c r="C31" i="6" s="1"/>
  <c r="C29" i="6"/>
  <c r="C30" i="5"/>
  <c r="C21" i="5"/>
  <c r="C31" i="5" s="1"/>
  <c r="C29" i="5"/>
  <c r="C22" i="5"/>
  <c r="C8" i="4"/>
  <c r="C7" i="4"/>
  <c r="C6" i="4"/>
  <c r="C8" i="3"/>
  <c r="C7" i="3"/>
  <c r="C6" i="3"/>
  <c r="C3" i="3"/>
  <c r="C22" i="2"/>
  <c r="C32" i="2"/>
  <c r="C3" i="1"/>
  <c r="C8" i="1"/>
  <c r="C7" i="1"/>
  <c r="C30" i="1" s="1"/>
  <c r="C6" i="1"/>
  <c r="C22" i="7" l="1"/>
  <c r="C32" i="7"/>
  <c r="C32" i="6"/>
  <c r="C22" i="6"/>
  <c r="C32" i="5"/>
  <c r="C20" i="4"/>
  <c r="C21" i="4" s="1"/>
  <c r="C20" i="3"/>
  <c r="C21" i="3" s="1"/>
  <c r="C22" i="3" s="1"/>
  <c r="C29" i="1"/>
  <c r="C20" i="1"/>
  <c r="C31" i="1" s="1"/>
  <c r="C21" i="1" l="1"/>
  <c r="C32" i="1"/>
</calcChain>
</file>

<file path=xl/sharedStrings.xml><?xml version="1.0" encoding="utf-8"?>
<sst xmlns="http://schemas.openxmlformats.org/spreadsheetml/2006/main" count="524" uniqueCount="108">
  <si>
    <t>The scope of this project is directly from 2011 CIP</t>
  </si>
  <si>
    <t>Techite Pipe + 1  Upstream VCP</t>
  </si>
  <si>
    <t>Item</t>
  </si>
  <si>
    <t>Cost</t>
  </si>
  <si>
    <t>8in</t>
  </si>
  <si>
    <t>10in</t>
  </si>
  <si>
    <t>12in</t>
  </si>
  <si>
    <t>15in</t>
  </si>
  <si>
    <t>18in</t>
  </si>
  <si>
    <t>21in</t>
  </si>
  <si>
    <t>24in</t>
  </si>
  <si>
    <t>Enter Values for Yellow Cells</t>
  </si>
  <si>
    <t>Design</t>
  </si>
  <si>
    <t>Small, simple design @ 5%</t>
  </si>
  <si>
    <t>Length:</t>
  </si>
  <si>
    <t>Environmental Design</t>
  </si>
  <si>
    <t>CCTV:</t>
  </si>
  <si>
    <t>Rehab. Cost per Ft 2025 Estimate</t>
  </si>
  <si>
    <t>Temporary and/or Permanent Easements</t>
  </si>
  <si>
    <t>No easements anticipated</t>
  </si>
  <si>
    <t>Rehab:</t>
  </si>
  <si>
    <t>CCTV/Prep Cost per Ft 2025 Estimate</t>
  </si>
  <si>
    <t>Permits (ROW, VCWPD, 401, 404, etc.)</t>
  </si>
  <si>
    <t>Assume each project is $1M and needs a $2,500 permit</t>
  </si>
  <si>
    <t>Avg prop line (dense)</t>
  </si>
  <si>
    <t>Construction Management</t>
  </si>
  <si>
    <t>CM assistance at 5%</t>
  </si>
  <si>
    <t>No. MHs:</t>
  </si>
  <si>
    <t>Avg prop line (rural)</t>
  </si>
  <si>
    <t>Construction Phase Services</t>
  </si>
  <si>
    <t>CPS at 2.%</t>
  </si>
  <si>
    <t>Rehab Cost / MH inc. TC:</t>
  </si>
  <si>
    <t>Sewer Lateral Re-establishment</t>
  </si>
  <si>
    <t>Inspection</t>
  </si>
  <si>
    <t>Contract inspection</t>
  </si>
  <si>
    <t>Sewer Lateral Insert</t>
  </si>
  <si>
    <t>Material Testing</t>
  </si>
  <si>
    <t>No paving, MH testing included in price</t>
  </si>
  <si>
    <t>Traffic Control / Day (Minor)</t>
  </si>
  <si>
    <t>Restoration</t>
  </si>
  <si>
    <t>No restoration anticipated.</t>
  </si>
  <si>
    <t>Traffic Control / Day (Significant)</t>
  </si>
  <si>
    <t>Mitigation</t>
  </si>
  <si>
    <t>No mitigation anticipated</t>
  </si>
  <si>
    <t>Traffic Control / Day (Caltrans)</t>
  </si>
  <si>
    <t>Mobilization</t>
  </si>
  <si>
    <t>Point Repair Est.</t>
  </si>
  <si>
    <t>Traffic Control (reduced to half minor TC cost)</t>
  </si>
  <si>
    <t>Inspection / Day</t>
  </si>
  <si>
    <t>Point Repairs</t>
  </si>
  <si>
    <t>CCTV Inspection and Pipe Preparation</t>
  </si>
  <si>
    <t>Sewer Main Lining</t>
  </si>
  <si>
    <t>Sewer Lateral Re-Establishment / Lateral Inserts</t>
  </si>
  <si>
    <t>None</t>
  </si>
  <si>
    <t>Manhole Rehabilitation</t>
  </si>
  <si>
    <t>Closeout, As-builts</t>
  </si>
  <si>
    <t>TOTAL</t>
  </si>
  <si>
    <t>Design and Environmental</t>
  </si>
  <si>
    <t>Inspection and Construction Management</t>
  </si>
  <si>
    <t>Construction and Closeout</t>
  </si>
  <si>
    <t>Total Cost</t>
  </si>
  <si>
    <t>Comments / Assumptions</t>
  </si>
  <si>
    <t>Small, simple design @ 7.5%</t>
  </si>
  <si>
    <t>6in</t>
  </si>
  <si>
    <t>Anticipate need for arborist report ($50k + $50k over time)</t>
  </si>
  <si>
    <t>Bursting Cost per Ft Estimate</t>
  </si>
  <si>
    <t>Rehab (Lining):</t>
  </si>
  <si>
    <t>Bursting:</t>
  </si>
  <si>
    <t>CPS at 5%</t>
  </si>
  <si>
    <t>Testing for final A/C paving in bursting area</t>
  </si>
  <si>
    <t>Restoration embedded in constructon. No major restoration projects anticipated.</t>
  </si>
  <si>
    <t>Note: this will be separate D&amp;C projects over many years</t>
  </si>
  <si>
    <t>Traffic Control</t>
  </si>
  <si>
    <t>TC complex in MO. 400 LF/day CIPP, 150 LF/day bursting.</t>
  </si>
  <si>
    <t>High GW in MO per 2014 I&amp;I study. May be required in CIPP and bursting area.</t>
  </si>
  <si>
    <t>Point Repair High GW</t>
  </si>
  <si>
    <t>Sewer Main Lining (&gt;6in)</t>
  </si>
  <si>
    <t>Sewer Main Bursting (6in) inc. Lateral Connection</t>
  </si>
  <si>
    <t>Note: may be more practical to open trench due to short P/Ls in MO</t>
  </si>
  <si>
    <t>Sewer Lateral Re-Establishment (CIPP only)</t>
  </si>
  <si>
    <t>Sewer Lateral Insert (CIPP only)</t>
  </si>
  <si>
    <t>Old Creek Road to GSC</t>
  </si>
  <si>
    <t>Description - Trunk Sewer Rehab. (Old Creek Rd I-19-02 to H-18-08)</t>
  </si>
  <si>
    <t>CM assistance at 10%</t>
  </si>
  <si>
    <t>No paving</t>
  </si>
  <si>
    <t>Sewer Lateral Re-Establishment</t>
  </si>
  <si>
    <t>TOTAL 2--In-house Design</t>
  </si>
  <si>
    <t>City: ACP Golden West to Shady Ln</t>
  </si>
  <si>
    <t>Description - Rancho Dr and Alto/Feliz Dr Pipe Bursting</t>
  </si>
  <si>
    <t>Description - Trunk Sewer Rehab. (Ojai Trunk from S-30-07 to S-30-16)</t>
  </si>
  <si>
    <t>Point Repair High GW or  Complex</t>
  </si>
  <si>
    <t>High GW/Complex</t>
  </si>
  <si>
    <t>Project</t>
  </si>
  <si>
    <t>Estimated Cost</t>
  </si>
  <si>
    <t>Survey and feasibility design to replace 14” ACP west riverbank of Ventura River downstream of Baldwin</t>
  </si>
  <si>
    <t>Techite trunk 1,800 LF CIPP</t>
  </si>
  <si>
    <t>Rancho Dr sewer rehab</t>
  </si>
  <si>
    <t>Feliz Dr sewer rehab</t>
  </si>
  <si>
    <t>Alto Dr sewer rehab</t>
  </si>
  <si>
    <t>TOTAL C/S Transfer</t>
  </si>
  <si>
    <t>Rolling Exp</t>
  </si>
  <si>
    <t>Spot Rairs</t>
  </si>
  <si>
    <t>Burnham&amp;Kunkle CIPP</t>
  </si>
  <si>
    <t>Easement</t>
  </si>
  <si>
    <t>Fine Screen Replacment</t>
  </si>
  <si>
    <t>Roofing</t>
  </si>
  <si>
    <t>HCAC</t>
  </si>
  <si>
    <t>Description - Techite Pipe Rehab (OVT near Grande Vista) G-20-05 to G-19-06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</si>
</sst>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3"/>
    <xf numFmtId="0" fontId="2" fillId="0" borderId="0" xfId="0" applyFont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quotePrefix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4" xfId="2" applyNumberFormat="1" applyFont="1" applyFill="1" applyBorder="1"/>
    <xf numFmtId="164" fontId="0" fillId="3" borderId="5" xfId="2" applyNumberFormat="1" applyFont="1" applyFill="1" applyBorder="1"/>
    <xf numFmtId="38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0" fillId="3" borderId="4" xfId="2" applyNumberFormat="1" applyFont="1" applyFill="1" applyBorder="1"/>
    <xf numFmtId="8" fontId="0" fillId="0" borderId="0" xfId="0" applyNumberFormat="1" applyAlignment="1">
      <alignment horizontal="left" vertical="center"/>
    </xf>
    <xf numFmtId="6" fontId="0" fillId="2" borderId="0" xfId="0" applyNumberFormat="1" applyFill="1" applyAlignment="1">
      <alignment horizontal="left" vertical="center"/>
    </xf>
    <xf numFmtId="164" fontId="0" fillId="0" borderId="4" xfId="2" applyNumberFormat="1" applyFont="1" applyBorder="1"/>
    <xf numFmtId="38" fontId="0" fillId="2" borderId="0" xfId="0" applyNumberFormat="1" applyFill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2" applyNumberFormat="1" applyFont="1" applyBorder="1"/>
    <xf numFmtId="164" fontId="0" fillId="3" borderId="6" xfId="2" applyNumberFormat="1" applyFont="1" applyFill="1" applyBorder="1"/>
    <xf numFmtId="164" fontId="0" fillId="0" borderId="6" xfId="2" applyNumberFormat="1" applyFont="1" applyFill="1" applyBorder="1"/>
    <xf numFmtId="0" fontId="0" fillId="0" borderId="7" xfId="0" applyBorder="1"/>
    <xf numFmtId="164" fontId="0" fillId="0" borderId="7" xfId="2" applyNumberFormat="1" applyFont="1" applyBorder="1"/>
    <xf numFmtId="164" fontId="0" fillId="3" borderId="7" xfId="2" applyNumberFormat="1" applyFont="1" applyFill="1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8" xfId="2" applyNumberFormat="1" applyFont="1" applyFill="1" applyBorder="1"/>
    <xf numFmtId="164" fontId="0" fillId="3" borderId="8" xfId="2" applyNumberFormat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right" indent="1"/>
    </xf>
    <xf numFmtId="164" fontId="0" fillId="0" borderId="9" xfId="0" applyNumberFormat="1" applyBorder="1"/>
    <xf numFmtId="164" fontId="0" fillId="0" borderId="0" xfId="0" applyNumberFormat="1"/>
    <xf numFmtId="6" fontId="0" fillId="0" borderId="0" xfId="0" applyNumberFormat="1" applyAlignment="1">
      <alignment horizontal="left" vertical="center"/>
    </xf>
    <xf numFmtId="0" fontId="0" fillId="0" borderId="10" xfId="0" applyBorder="1" applyAlignment="1">
      <alignment vertical="center" wrapText="1"/>
    </xf>
    <xf numFmtId="43" fontId="0" fillId="0" borderId="0" xfId="1" applyFont="1" applyAlignment="1">
      <alignment horizontal="left" vertical="center"/>
    </xf>
    <xf numFmtId="2" fontId="0" fillId="0" borderId="8" xfId="0" applyNumberFormat="1" applyBorder="1" applyAlignment="1">
      <alignment horizontal="center"/>
    </xf>
    <xf numFmtId="164" fontId="0" fillId="0" borderId="8" xfId="2" applyNumberFormat="1" applyFont="1" applyBorder="1"/>
    <xf numFmtId="0" fontId="0" fillId="0" borderId="11" xfId="0" applyBorder="1" applyAlignment="1">
      <alignment horizontal="right"/>
    </xf>
    <xf numFmtId="6" fontId="0" fillId="0" borderId="0" xfId="0" applyNumberFormat="1"/>
    <xf numFmtId="164" fontId="0" fillId="0" borderId="0" xfId="2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0" xfId="0" applyFill="1" applyAlignment="1">
      <alignment horizontal="left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56F8-09DD-48A8-8A1B-01FA7290E156}">
  <dimension ref="A1:W41"/>
  <sheetViews>
    <sheetView tabSelected="1" zoomScale="85" zoomScaleNormal="85" workbookViewId="0">
      <selection activeCell="G19" sqref="G19"/>
    </sheetView>
  </sheetViews>
  <sheetFormatPr defaultRowHeight="15" x14ac:dyDescent="0.25"/>
  <cols>
    <col min="1" max="1" width="5.140625" bestFit="1" customWidth="1"/>
    <col min="2" max="2" width="59.7109375" bestFit="1" customWidth="1"/>
    <col min="3" max="3" width="10" bestFit="1" customWidth="1"/>
    <col min="4" max="4" width="6.140625" bestFit="1" customWidth="1"/>
    <col min="5" max="5" width="49.85546875" bestFit="1" customWidth="1"/>
    <col min="6" max="6" width="22.5703125" bestFit="1" customWidth="1"/>
    <col min="7" max="7" width="28.28515625" bestFit="1" customWidth="1"/>
    <col min="8" max="9" width="6.42578125" bestFit="1" customWidth="1"/>
    <col min="10" max="11" width="11.85546875" bestFit="1" customWidth="1"/>
    <col min="12" max="13" width="6.42578125" bestFit="1" customWidth="1"/>
    <col min="15" max="15" width="32.85546875" bestFit="1" customWidth="1"/>
    <col min="16" max="16" width="8.42578125" bestFit="1" customWidth="1"/>
    <col min="17" max="17" width="4.85546875" bestFit="1" customWidth="1"/>
    <col min="18" max="22" width="5.85546875" bestFit="1" customWidth="1"/>
  </cols>
  <sheetData>
    <row r="1" spans="1:23" x14ac:dyDescent="0.25">
      <c r="A1" s="1"/>
      <c r="B1" s="2" t="s">
        <v>0</v>
      </c>
      <c r="F1" s="3"/>
      <c r="G1" s="3" t="s">
        <v>1</v>
      </c>
      <c r="H1" s="3"/>
      <c r="I1" s="3"/>
      <c r="J1" s="3"/>
      <c r="K1" s="3"/>
      <c r="L1" s="3"/>
      <c r="M1" s="3"/>
      <c r="N1" s="3"/>
    </row>
    <row r="2" spans="1:23" x14ac:dyDescent="0.25">
      <c r="A2" s="4" t="s">
        <v>2</v>
      </c>
      <c r="B2" s="5" t="s">
        <v>107</v>
      </c>
      <c r="C2" s="43" t="s">
        <v>3</v>
      </c>
      <c r="D2" s="44"/>
      <c r="F2" s="3"/>
      <c r="G2" s="3" t="s">
        <v>4</v>
      </c>
      <c r="H2" s="6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/>
      <c r="O2" s="45" t="s">
        <v>11</v>
      </c>
      <c r="P2" s="45"/>
      <c r="Q2" s="3"/>
      <c r="R2" s="3"/>
      <c r="S2" s="3"/>
      <c r="T2" s="3"/>
      <c r="U2" s="3"/>
      <c r="V2" s="3"/>
      <c r="W2" s="3"/>
    </row>
    <row r="3" spans="1:23" x14ac:dyDescent="0.25">
      <c r="A3" s="8">
        <v>1.01</v>
      </c>
      <c r="B3" s="9" t="s">
        <v>12</v>
      </c>
      <c r="C3" s="10">
        <f>ROUND((SUM(C13:C19)*0.05),-3)</f>
        <v>24000</v>
      </c>
      <c r="D3" s="11"/>
      <c r="E3" t="s">
        <v>13</v>
      </c>
      <c r="F3" s="3" t="s">
        <v>14</v>
      </c>
      <c r="G3" s="12">
        <v>0</v>
      </c>
      <c r="H3" s="12">
        <v>0</v>
      </c>
      <c r="I3" s="12">
        <v>0</v>
      </c>
      <c r="J3" s="12">
        <f>131+460+375</f>
        <v>966</v>
      </c>
      <c r="K3" s="12">
        <f>390+350</f>
        <v>740</v>
      </c>
      <c r="L3" s="12">
        <v>0</v>
      </c>
      <c r="M3" s="12">
        <v>0</v>
      </c>
      <c r="N3" s="3"/>
      <c r="O3" s="3"/>
      <c r="P3" s="3" t="s">
        <v>4</v>
      </c>
      <c r="Q3" s="6" t="s">
        <v>5</v>
      </c>
      <c r="R3" s="3" t="s">
        <v>6</v>
      </c>
      <c r="S3" s="3" t="s">
        <v>7</v>
      </c>
      <c r="T3" s="3" t="s">
        <v>8</v>
      </c>
      <c r="U3" s="3" t="s">
        <v>9</v>
      </c>
      <c r="V3" s="3" t="s">
        <v>10</v>
      </c>
      <c r="W3" s="13"/>
    </row>
    <row r="4" spans="1:23" x14ac:dyDescent="0.25">
      <c r="A4" s="8">
        <v>1.02</v>
      </c>
      <c r="B4" s="9" t="s">
        <v>15</v>
      </c>
      <c r="C4" s="10">
        <v>0</v>
      </c>
      <c r="D4" s="14"/>
      <c r="F4" s="3" t="s">
        <v>16</v>
      </c>
      <c r="G4" s="15">
        <f t="shared" ref="G4:M4" si="0">G3*P5</f>
        <v>0</v>
      </c>
      <c r="H4" s="15">
        <f t="shared" si="0"/>
        <v>0</v>
      </c>
      <c r="I4" s="15">
        <f t="shared" si="0"/>
        <v>0</v>
      </c>
      <c r="J4" s="15">
        <f t="shared" si="0"/>
        <v>11592</v>
      </c>
      <c r="K4" s="15">
        <f t="shared" si="0"/>
        <v>11100</v>
      </c>
      <c r="L4" s="15">
        <f t="shared" si="0"/>
        <v>0</v>
      </c>
      <c r="M4" s="15">
        <f t="shared" si="0"/>
        <v>0</v>
      </c>
      <c r="N4" s="3"/>
      <c r="O4" s="3" t="s">
        <v>17</v>
      </c>
      <c r="P4" s="16">
        <v>50</v>
      </c>
      <c r="Q4" s="16">
        <v>60</v>
      </c>
      <c r="R4" s="16">
        <v>100</v>
      </c>
      <c r="S4" s="16">
        <v>200</v>
      </c>
      <c r="T4" s="16">
        <v>225</v>
      </c>
      <c r="U4" s="16">
        <v>250</v>
      </c>
      <c r="V4" s="16">
        <v>300</v>
      </c>
      <c r="W4" s="13"/>
    </row>
    <row r="5" spans="1:23" x14ac:dyDescent="0.25">
      <c r="A5" s="8">
        <v>2.0099999999999998</v>
      </c>
      <c r="B5" s="9" t="s">
        <v>18</v>
      </c>
      <c r="C5" s="17">
        <v>0</v>
      </c>
      <c r="D5" s="14"/>
      <c r="E5" t="s">
        <v>19</v>
      </c>
      <c r="F5" s="3" t="s">
        <v>20</v>
      </c>
      <c r="G5" s="15">
        <f t="shared" ref="G5:M5" si="1">G3*P4</f>
        <v>0</v>
      </c>
      <c r="H5" s="15">
        <f t="shared" si="1"/>
        <v>0</v>
      </c>
      <c r="I5" s="15">
        <f t="shared" si="1"/>
        <v>0</v>
      </c>
      <c r="J5" s="15">
        <f t="shared" si="1"/>
        <v>193200</v>
      </c>
      <c r="K5" s="15">
        <f t="shared" si="1"/>
        <v>166500</v>
      </c>
      <c r="L5" s="15">
        <f t="shared" si="1"/>
        <v>0</v>
      </c>
      <c r="M5" s="15">
        <f t="shared" si="1"/>
        <v>0</v>
      </c>
      <c r="N5" s="3"/>
      <c r="O5" s="3" t="s">
        <v>21</v>
      </c>
      <c r="P5" s="16">
        <v>10</v>
      </c>
      <c r="Q5" s="16">
        <v>10</v>
      </c>
      <c r="R5" s="16">
        <v>10</v>
      </c>
      <c r="S5" s="16">
        <v>12</v>
      </c>
      <c r="T5" s="16">
        <v>15</v>
      </c>
      <c r="U5" s="16">
        <v>15</v>
      </c>
      <c r="V5" s="16">
        <v>20</v>
      </c>
      <c r="W5" s="13"/>
    </row>
    <row r="6" spans="1:23" x14ac:dyDescent="0.25">
      <c r="A6" s="8">
        <v>2.02</v>
      </c>
      <c r="B6" s="9" t="s">
        <v>22</v>
      </c>
      <c r="C6" s="10">
        <f>ROUND((((SUM(C13:C19))/1000000)*2500),-3)</f>
        <v>1000</v>
      </c>
      <c r="D6" s="14"/>
      <c r="E6" t="s">
        <v>23</v>
      </c>
      <c r="F6" s="3"/>
      <c r="G6" s="3"/>
      <c r="H6" s="3"/>
      <c r="I6" s="3"/>
      <c r="J6" s="3"/>
      <c r="K6" s="3"/>
      <c r="L6" s="3"/>
      <c r="M6" s="3"/>
      <c r="N6" s="3"/>
      <c r="O6" s="3" t="s">
        <v>24</v>
      </c>
      <c r="P6" s="18">
        <v>75</v>
      </c>
      <c r="Q6" s="15"/>
      <c r="R6" s="15"/>
      <c r="S6" s="15"/>
      <c r="T6" s="15"/>
      <c r="U6" s="15"/>
      <c r="V6" s="15"/>
      <c r="W6" s="13"/>
    </row>
    <row r="7" spans="1:23" x14ac:dyDescent="0.25">
      <c r="A7" s="19">
        <v>3.01</v>
      </c>
      <c r="B7" s="9" t="s">
        <v>25</v>
      </c>
      <c r="C7" s="10">
        <f>ROUND((SUM(C13:C19)*0.05),-3)</f>
        <v>24000</v>
      </c>
      <c r="D7" s="14"/>
      <c r="E7" t="s">
        <v>26</v>
      </c>
      <c r="F7" s="3" t="s">
        <v>27</v>
      </c>
      <c r="G7" s="7">
        <v>6</v>
      </c>
      <c r="H7" s="3"/>
      <c r="I7" s="3"/>
      <c r="J7" s="3"/>
      <c r="K7" s="3"/>
      <c r="L7" s="3"/>
      <c r="M7" s="3"/>
      <c r="N7" s="3"/>
      <c r="O7" s="3" t="s">
        <v>28</v>
      </c>
      <c r="P7" s="18">
        <v>200</v>
      </c>
      <c r="Q7" s="3"/>
      <c r="R7" s="3"/>
      <c r="S7" s="3"/>
      <c r="T7" s="3"/>
      <c r="U7" s="3"/>
      <c r="V7" s="3"/>
      <c r="W7" s="3"/>
    </row>
    <row r="8" spans="1:23" x14ac:dyDescent="0.25">
      <c r="A8" s="19">
        <v>3.02</v>
      </c>
      <c r="B8" s="9" t="s">
        <v>29</v>
      </c>
      <c r="C8" s="10">
        <f>ROUND((SUM(C13:C19)*0.025),-3)</f>
        <v>12000</v>
      </c>
      <c r="D8" s="14"/>
      <c r="E8" t="s">
        <v>30</v>
      </c>
      <c r="F8" s="3" t="s">
        <v>31</v>
      </c>
      <c r="G8" s="16">
        <v>7500</v>
      </c>
      <c r="H8" s="3"/>
      <c r="I8" s="3"/>
      <c r="J8" s="3"/>
      <c r="K8" s="3"/>
      <c r="L8" s="3"/>
      <c r="M8" s="3"/>
      <c r="N8" s="3"/>
      <c r="O8" s="3" t="s">
        <v>32</v>
      </c>
      <c r="P8" s="16">
        <v>1500</v>
      </c>
      <c r="Q8" s="3"/>
      <c r="R8" s="3"/>
      <c r="S8" s="3"/>
      <c r="T8" s="3"/>
      <c r="U8" s="3"/>
      <c r="V8" s="3"/>
      <c r="W8" s="3"/>
    </row>
    <row r="9" spans="1:23" x14ac:dyDescent="0.25">
      <c r="A9" s="19">
        <v>3.03</v>
      </c>
      <c r="B9" s="9" t="s">
        <v>33</v>
      </c>
      <c r="C9" s="17">
        <f>ROUNDUP(((5+((SUM(G3:M3))/400))*$P$14),-3)</f>
        <v>17000</v>
      </c>
      <c r="D9" s="14"/>
      <c r="E9" t="s">
        <v>34</v>
      </c>
      <c r="F9" s="3"/>
      <c r="G9" s="3"/>
      <c r="H9" s="3"/>
      <c r="I9" s="3"/>
      <c r="J9" s="12"/>
      <c r="K9" s="3"/>
      <c r="L9" s="3"/>
      <c r="M9" s="3"/>
      <c r="N9" s="3"/>
      <c r="O9" s="3" t="s">
        <v>35</v>
      </c>
      <c r="P9" s="16">
        <v>4000</v>
      </c>
      <c r="Q9" s="3"/>
      <c r="R9" s="3"/>
      <c r="S9" s="3"/>
      <c r="T9" s="3"/>
      <c r="U9" s="3"/>
      <c r="V9" s="3"/>
      <c r="W9" s="3"/>
    </row>
    <row r="10" spans="1:23" x14ac:dyDescent="0.25">
      <c r="A10" s="19">
        <v>3.04</v>
      </c>
      <c r="B10" s="9" t="s">
        <v>36</v>
      </c>
      <c r="C10" s="10">
        <v>0</v>
      </c>
      <c r="D10" s="14"/>
      <c r="E10" t="s">
        <v>37</v>
      </c>
      <c r="F10" s="3"/>
      <c r="G10" s="3"/>
      <c r="H10" s="3"/>
      <c r="I10" s="3"/>
      <c r="J10" s="3"/>
      <c r="K10" s="3"/>
      <c r="L10" s="3"/>
      <c r="M10" s="3"/>
      <c r="N10" s="3"/>
      <c r="O10" s="3" t="s">
        <v>38</v>
      </c>
      <c r="P10" s="16">
        <v>1500</v>
      </c>
      <c r="Q10" s="3"/>
      <c r="R10" s="3"/>
      <c r="S10" s="3"/>
      <c r="T10" s="3"/>
      <c r="U10" s="3"/>
      <c r="V10" s="3"/>
      <c r="W10" s="3"/>
    </row>
    <row r="11" spans="1:23" x14ac:dyDescent="0.25">
      <c r="A11" s="19">
        <v>4.01</v>
      </c>
      <c r="B11" s="9" t="s">
        <v>39</v>
      </c>
      <c r="C11" s="17">
        <v>0</v>
      </c>
      <c r="D11" s="14"/>
      <c r="E11" t="s">
        <v>40</v>
      </c>
      <c r="F11" s="3"/>
      <c r="G11" s="3"/>
      <c r="H11" s="3"/>
      <c r="I11" s="3"/>
      <c r="J11" s="3"/>
      <c r="K11" s="3"/>
      <c r="L11" s="3"/>
      <c r="M11" s="3"/>
      <c r="N11" s="3"/>
      <c r="O11" s="3" t="s">
        <v>41</v>
      </c>
      <c r="P11" s="16">
        <v>3000</v>
      </c>
      <c r="Q11" s="3"/>
      <c r="R11" s="3"/>
      <c r="S11" s="3"/>
      <c r="T11" s="3"/>
      <c r="U11" s="3"/>
      <c r="V11" s="3"/>
      <c r="W11" s="3"/>
    </row>
    <row r="12" spans="1:23" x14ac:dyDescent="0.25">
      <c r="A12" s="19">
        <v>4.0199999999999996</v>
      </c>
      <c r="B12" s="9" t="s">
        <v>42</v>
      </c>
      <c r="C12" s="17">
        <v>0</v>
      </c>
      <c r="D12" s="14"/>
      <c r="E12" t="s">
        <v>43</v>
      </c>
      <c r="F12" s="3"/>
      <c r="G12" s="3"/>
      <c r="H12" s="3"/>
      <c r="I12" s="3"/>
      <c r="J12" s="3"/>
      <c r="K12" s="3"/>
      <c r="L12" s="3"/>
      <c r="M12" s="3"/>
      <c r="N12" s="3"/>
      <c r="O12" s="3" t="s">
        <v>44</v>
      </c>
      <c r="P12" s="16">
        <v>3500</v>
      </c>
      <c r="Q12" s="3"/>
      <c r="R12" s="3"/>
      <c r="S12" s="3"/>
      <c r="T12" s="3"/>
      <c r="U12" s="3"/>
      <c r="V12" s="3"/>
      <c r="W12" s="3"/>
    </row>
    <row r="13" spans="1:23" x14ac:dyDescent="0.25">
      <c r="A13" s="19">
        <v>5.01</v>
      </c>
      <c r="B13" s="20" t="s">
        <v>45</v>
      </c>
      <c r="C13" s="21">
        <f>ROUND(((SUM(C14:C19))*0.05),-3)</f>
        <v>23000</v>
      </c>
      <c r="D13" s="22"/>
      <c r="F13" s="3"/>
      <c r="G13" s="3"/>
      <c r="H13" s="3"/>
      <c r="I13" s="3"/>
      <c r="J13" s="3"/>
      <c r="K13" s="3"/>
      <c r="L13" s="3"/>
      <c r="M13" s="3"/>
      <c r="N13" s="3"/>
      <c r="O13" s="3" t="s">
        <v>46</v>
      </c>
      <c r="P13" s="16">
        <v>10000</v>
      </c>
      <c r="Q13" s="3"/>
      <c r="R13" s="3"/>
      <c r="S13" s="3"/>
      <c r="T13" s="3"/>
      <c r="U13" s="3"/>
      <c r="V13" s="3"/>
      <c r="W13" s="3"/>
    </row>
    <row r="14" spans="1:23" x14ac:dyDescent="0.25">
      <c r="A14" s="19">
        <v>5.0199999999999996</v>
      </c>
      <c r="B14" s="20" t="s">
        <v>47</v>
      </c>
      <c r="C14" s="23">
        <f>ROUND((0.5*3*((SUM(G3:M3))/400)*$P$10),-3)</f>
        <v>10000</v>
      </c>
      <c r="D14" s="22"/>
      <c r="F14" s="3"/>
      <c r="G14" s="3"/>
      <c r="H14" s="3"/>
      <c r="I14" s="3"/>
      <c r="J14" s="3"/>
      <c r="K14" s="3"/>
      <c r="L14" s="3"/>
      <c r="M14" s="3"/>
      <c r="N14" s="3"/>
      <c r="O14" s="3" t="s">
        <v>48</v>
      </c>
      <c r="P14" s="16">
        <f>(160*8)+(160*1.5*2)</f>
        <v>1760</v>
      </c>
      <c r="Q14" s="3"/>
      <c r="R14" s="3"/>
      <c r="S14" s="3"/>
      <c r="T14" s="3"/>
      <c r="U14" s="3"/>
      <c r="V14" s="3"/>
      <c r="W14" s="3"/>
    </row>
    <row r="15" spans="1:23" x14ac:dyDescent="0.25">
      <c r="A15" s="19">
        <v>5.03</v>
      </c>
      <c r="B15" s="20" t="s">
        <v>49</v>
      </c>
      <c r="C15" s="21">
        <f>ROUND(($P$13*(((SUM(G3:M3)))/1000)),-3)</f>
        <v>17000</v>
      </c>
      <c r="D15" s="22"/>
      <c r="F15" s="3"/>
      <c r="G15" s="3"/>
      <c r="H15" s="3"/>
      <c r="I15" s="3"/>
      <c r="J15" s="3"/>
      <c r="K15" s="3"/>
      <c r="L15" s="3"/>
      <c r="M15" s="3"/>
      <c r="N15" s="3"/>
    </row>
    <row r="16" spans="1:23" x14ac:dyDescent="0.25">
      <c r="A16" s="19">
        <v>5.04</v>
      </c>
      <c r="B16" s="20" t="s">
        <v>50</v>
      </c>
      <c r="C16" s="23">
        <f>ROUND(((SUM(G4:M4))),-3)</f>
        <v>23000</v>
      </c>
      <c r="D16" s="22"/>
      <c r="F16" s="3"/>
      <c r="G16" s="3"/>
      <c r="H16" s="3"/>
      <c r="I16" s="3"/>
      <c r="J16" s="3"/>
      <c r="K16" s="3"/>
      <c r="L16" s="3"/>
      <c r="M16" s="3"/>
      <c r="N16" s="3"/>
    </row>
    <row r="17" spans="1:14" x14ac:dyDescent="0.25">
      <c r="A17" s="19">
        <v>5.05</v>
      </c>
      <c r="B17" s="20" t="s">
        <v>51</v>
      </c>
      <c r="C17" s="21">
        <f>ROUND((SUM(G5:M5)),-3)</f>
        <v>360000</v>
      </c>
      <c r="D17" s="22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19">
        <v>5.0599999999999996</v>
      </c>
      <c r="B18" s="24" t="s">
        <v>52</v>
      </c>
      <c r="C18" s="25">
        <v>0</v>
      </c>
      <c r="D18" s="26"/>
      <c r="E18" t="s">
        <v>53</v>
      </c>
      <c r="F18" s="3"/>
      <c r="G18" s="3"/>
      <c r="H18" s="3"/>
      <c r="I18" s="3"/>
      <c r="J18" s="3"/>
      <c r="K18" s="3"/>
      <c r="L18" s="3"/>
      <c r="M18" s="3"/>
      <c r="N18" s="3"/>
    </row>
    <row r="19" spans="1:14" x14ac:dyDescent="0.25">
      <c r="A19" s="19">
        <v>5.07</v>
      </c>
      <c r="B19" s="24" t="s">
        <v>54</v>
      </c>
      <c r="C19" s="25">
        <f>ROUND((G7*G8),-3)</f>
        <v>45000</v>
      </c>
      <c r="D19" s="26"/>
      <c r="F19" s="3"/>
      <c r="G19" s="3"/>
      <c r="H19" s="3"/>
      <c r="I19" s="3"/>
      <c r="J19" s="3"/>
      <c r="K19" s="3"/>
      <c r="L19" s="3"/>
      <c r="M19" s="3"/>
      <c r="N19" s="3"/>
    </row>
    <row r="20" spans="1:14" ht="15.75" thickBot="1" x14ac:dyDescent="0.3">
      <c r="A20" s="27">
        <v>6.01</v>
      </c>
      <c r="B20" s="28" t="s">
        <v>55</v>
      </c>
      <c r="C20" s="29">
        <f>ROUND((C3*0.15),-3)</f>
        <v>4000</v>
      </c>
      <c r="D20" s="30"/>
      <c r="F20" s="3"/>
      <c r="G20" s="3"/>
      <c r="H20" s="3"/>
      <c r="I20" s="3"/>
      <c r="J20" s="3"/>
      <c r="K20" s="3"/>
      <c r="L20" s="3"/>
      <c r="M20" s="3"/>
      <c r="N20" s="3"/>
    </row>
    <row r="21" spans="1:14" ht="15.75" thickTop="1" x14ac:dyDescent="0.25">
      <c r="A21" s="31"/>
      <c r="B21" s="32" t="s">
        <v>56</v>
      </c>
      <c r="C21" s="33">
        <f>ROUNDUP((SUM(C3:C20)),-4)</f>
        <v>560000</v>
      </c>
      <c r="D21" s="33">
        <f>SUM(D3:D20)</f>
        <v>0</v>
      </c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31"/>
      <c r="F22" s="3"/>
      <c r="G22" s="3"/>
      <c r="H22" s="3"/>
      <c r="I22" s="3"/>
      <c r="J22" s="3"/>
      <c r="K22" s="3"/>
      <c r="L22" s="3"/>
      <c r="M22" s="3"/>
      <c r="N22" s="3"/>
    </row>
    <row r="23" spans="1:14" x14ac:dyDescent="0.25"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5"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B29" t="s">
        <v>57</v>
      </c>
      <c r="C29" s="34">
        <f>SUM(C3:C6)</f>
        <v>25000</v>
      </c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B30" t="s">
        <v>58</v>
      </c>
      <c r="C30" s="34">
        <f>SUM(C7:C9)</f>
        <v>53000</v>
      </c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B31" t="s">
        <v>59</v>
      </c>
      <c r="C31" s="34">
        <f>SUM(C10:C20)</f>
        <v>482000</v>
      </c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5">
      <c r="B32" t="s">
        <v>60</v>
      </c>
      <c r="C32" s="34">
        <f>SUM(C29:C31)</f>
        <v>560000</v>
      </c>
      <c r="F32" s="3"/>
      <c r="G32" s="3"/>
      <c r="H32" s="3"/>
      <c r="I32" s="3"/>
      <c r="J32" s="3"/>
      <c r="K32" s="3"/>
      <c r="L32" s="3"/>
      <c r="M32" s="3"/>
      <c r="N32" s="3"/>
    </row>
    <row r="33" spans="6:14" x14ac:dyDescent="0.25">
      <c r="F33" s="3"/>
      <c r="G33" s="3"/>
      <c r="H33" s="3"/>
      <c r="I33" s="3"/>
      <c r="J33" s="3"/>
      <c r="K33" s="3"/>
      <c r="L33" s="3"/>
      <c r="M33" s="3"/>
      <c r="N33" s="3"/>
    </row>
    <row r="34" spans="6:14" x14ac:dyDescent="0.25">
      <c r="F34" s="3"/>
      <c r="G34" s="3"/>
      <c r="H34" s="3"/>
      <c r="I34" s="3"/>
      <c r="J34" s="3"/>
      <c r="K34" s="3"/>
      <c r="L34" s="3"/>
      <c r="M34" s="3"/>
      <c r="N34" s="3"/>
    </row>
    <row r="35" spans="6:14" x14ac:dyDescent="0.25">
      <c r="F35" s="3"/>
      <c r="G35" s="3"/>
      <c r="H35" s="3"/>
      <c r="I35" s="3"/>
      <c r="J35" s="3"/>
      <c r="K35" s="3"/>
      <c r="L35" s="3"/>
      <c r="M35" s="3"/>
      <c r="N35" s="3"/>
    </row>
    <row r="36" spans="6:14" x14ac:dyDescent="0.25">
      <c r="F36" s="3"/>
      <c r="G36" s="3"/>
      <c r="H36" s="3"/>
      <c r="I36" s="3"/>
      <c r="J36" s="3"/>
      <c r="K36" s="3"/>
      <c r="L36" s="3"/>
      <c r="M36" s="3"/>
      <c r="N36" s="3"/>
    </row>
    <row r="37" spans="6:14" x14ac:dyDescent="0.25">
      <c r="F37" s="3"/>
      <c r="G37" s="3"/>
      <c r="H37" s="3"/>
      <c r="I37" s="3"/>
      <c r="J37" s="3"/>
      <c r="K37" s="3"/>
      <c r="L37" s="3"/>
      <c r="M37" s="3"/>
      <c r="N37" s="3"/>
    </row>
    <row r="38" spans="6:14" x14ac:dyDescent="0.25">
      <c r="F38" s="3"/>
      <c r="G38" s="3"/>
      <c r="H38" s="3"/>
      <c r="I38" s="3"/>
      <c r="J38" s="3"/>
      <c r="K38" s="3"/>
      <c r="L38" s="3"/>
      <c r="M38" s="3"/>
      <c r="N38" s="3"/>
    </row>
    <row r="39" spans="6:14" x14ac:dyDescent="0.25">
      <c r="F39" s="3"/>
      <c r="G39" s="3"/>
      <c r="H39" s="3"/>
      <c r="I39" s="3"/>
      <c r="J39" s="3"/>
      <c r="K39" s="3"/>
      <c r="L39" s="3"/>
      <c r="M39" s="3"/>
      <c r="N39" s="3"/>
    </row>
    <row r="40" spans="6:14" x14ac:dyDescent="0.25">
      <c r="F40" s="3"/>
      <c r="G40" s="3"/>
      <c r="H40" s="3"/>
      <c r="I40" s="3"/>
      <c r="J40" s="3"/>
      <c r="K40" s="3"/>
      <c r="L40" s="3"/>
      <c r="M40" s="3"/>
      <c r="N40" s="3"/>
    </row>
    <row r="41" spans="6:14" x14ac:dyDescent="0.25">
      <c r="F41" s="3"/>
      <c r="G41" s="3"/>
      <c r="H41" s="3"/>
      <c r="I41" s="3"/>
      <c r="J41" s="3"/>
      <c r="K41" s="3"/>
      <c r="L41" s="3"/>
      <c r="M41" s="3"/>
      <c r="N41" s="3"/>
    </row>
  </sheetData>
  <mergeCells count="2">
    <mergeCell ref="C2:D2"/>
    <mergeCell ref="O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ECEB-706D-4A00-ABE3-3DD60D1AA156}">
  <dimension ref="A1:Y37"/>
  <sheetViews>
    <sheetView zoomScale="80" zoomScaleNormal="80" workbookViewId="0">
      <selection activeCell="Q41" sqref="Q41"/>
    </sheetView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8" width="11.5703125" bestFit="1" customWidth="1"/>
    <col min="9" max="9" width="4.140625" bestFit="1" customWidth="1"/>
    <col min="10" max="15" width="5" bestFit="1" customWidth="1"/>
    <col min="17" max="17" width="34.140625" bestFit="1" customWidth="1"/>
    <col min="18" max="18" width="8.85546875" bestFit="1" customWidth="1"/>
    <col min="19" max="25" width="6.28515625" bestFit="1" customWidth="1"/>
  </cols>
  <sheetData>
    <row r="1" spans="1:25" x14ac:dyDescent="0.2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88</v>
      </c>
      <c r="C2" s="43" t="s">
        <v>3</v>
      </c>
      <c r="D2" s="44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45" t="s">
        <v>11</v>
      </c>
      <c r="R2" s="45"/>
      <c r="S2" s="45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ROUND((SUM(C13:C20)*0.075),-3)</f>
        <v>89000</v>
      </c>
      <c r="D3" s="11"/>
      <c r="E3" t="s">
        <v>62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0</v>
      </c>
      <c r="D4" s="14"/>
      <c r="E4" t="s">
        <v>64</v>
      </c>
      <c r="G4" s="3" t="s">
        <v>14</v>
      </c>
      <c r="H4" s="12">
        <f>340+75+340+415+70+60+190+250+400+400+400+380+490</f>
        <v>3810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H4*R6</f>
        <v>57150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f>ROUND((((SUM(C13:C20))/1000000)*2500),-3)</f>
        <v>3000</v>
      </c>
      <c r="D6" s="14"/>
      <c r="E6" t="s">
        <v>23</v>
      </c>
      <c r="G6" s="3" t="s">
        <v>66</v>
      </c>
      <c r="H6" s="35">
        <v>0</v>
      </c>
      <c r="I6" s="35">
        <f>I4*S4</f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21</v>
      </c>
      <c r="R6" s="16">
        <v>15</v>
      </c>
      <c r="S6" s="16">
        <v>10</v>
      </c>
      <c r="T6" s="16">
        <v>10</v>
      </c>
      <c r="U6" s="16">
        <v>10</v>
      </c>
      <c r="V6" s="16">
        <v>12</v>
      </c>
      <c r="W6" s="16">
        <v>15</v>
      </c>
      <c r="X6" s="16">
        <v>15</v>
      </c>
      <c r="Y6" s="16">
        <v>20</v>
      </c>
    </row>
    <row r="7" spans="1:25" x14ac:dyDescent="0.25">
      <c r="A7" s="19">
        <v>3.01</v>
      </c>
      <c r="B7" s="9" t="s">
        <v>25</v>
      </c>
      <c r="C7" s="10">
        <f>ROUND((SUM(C13:C20)*0.05),-3)</f>
        <v>60000</v>
      </c>
      <c r="D7" s="14"/>
      <c r="E7" t="s">
        <v>26</v>
      </c>
      <c r="G7" s="3" t="s">
        <v>67</v>
      </c>
      <c r="H7" s="35">
        <f>H4*R5</f>
        <v>1047750</v>
      </c>
      <c r="I7" s="35">
        <v>0</v>
      </c>
      <c r="J7" s="35">
        <v>0</v>
      </c>
      <c r="K7" s="35">
        <v>0</v>
      </c>
      <c r="L7" s="35">
        <f>L5*V6</f>
        <v>0</v>
      </c>
      <c r="M7" s="35">
        <f>M5*W6</f>
        <v>0</v>
      </c>
      <c r="N7" s="35">
        <f>N5*X6</f>
        <v>0</v>
      </c>
      <c r="O7" s="35">
        <f>O5*Y6</f>
        <v>0</v>
      </c>
      <c r="P7" s="35"/>
      <c r="Q7" s="3" t="s">
        <v>24</v>
      </c>
      <c r="R7" s="18">
        <v>75</v>
      </c>
      <c r="S7" s="3"/>
      <c r="T7" s="15"/>
      <c r="U7" s="15"/>
      <c r="V7" s="15"/>
      <c r="W7" s="15"/>
      <c r="X7" s="15"/>
      <c r="Y7" s="15"/>
    </row>
    <row r="8" spans="1:25" x14ac:dyDescent="0.25">
      <c r="A8" s="19">
        <v>3.02</v>
      </c>
      <c r="B8" s="9" t="s">
        <v>29</v>
      </c>
      <c r="C8" s="10">
        <f>ROUND((SUM(C13:C20)*0.05),-3)</f>
        <v>60000</v>
      </c>
      <c r="D8" s="14"/>
      <c r="E8" t="s">
        <v>68</v>
      </c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28</v>
      </c>
      <c r="R8" s="18">
        <v>200</v>
      </c>
      <c r="S8" s="3"/>
      <c r="T8" s="3"/>
      <c r="U8" s="3"/>
      <c r="V8" s="3"/>
      <c r="W8" s="3"/>
      <c r="X8" s="3"/>
      <c r="Y8" s="3"/>
    </row>
    <row r="9" spans="1:25" x14ac:dyDescent="0.25">
      <c r="A9" s="19">
        <v>3.03</v>
      </c>
      <c r="B9" s="9" t="s">
        <v>33</v>
      </c>
      <c r="C9" s="10">
        <f>ROUND(((3*(SUM(H4:O4))/400)*$R$16),-3)</f>
        <v>50000</v>
      </c>
      <c r="D9" s="14"/>
      <c r="E9" t="s">
        <v>34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32</v>
      </c>
      <c r="R9" s="16">
        <v>1500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f>ROUND(((H4/1000)*8*250),-3)</f>
        <v>8000</v>
      </c>
      <c r="D10" s="14"/>
      <c r="E10" t="s">
        <v>69</v>
      </c>
      <c r="G10" s="3"/>
      <c r="H10" s="12">
        <f>SUM(H4:O4)</f>
        <v>3810</v>
      </c>
      <c r="I10" s="3"/>
      <c r="J10" s="3"/>
      <c r="K10" s="3"/>
      <c r="L10" s="3"/>
      <c r="M10" s="3"/>
      <c r="N10" s="3"/>
      <c r="O10" s="3"/>
      <c r="P10" s="3"/>
      <c r="Q10" s="3" t="s">
        <v>35</v>
      </c>
      <c r="R10" s="16">
        <v>4000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38</v>
      </c>
      <c r="R11" s="16">
        <v>1500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41</v>
      </c>
      <c r="R12" s="16">
        <v>3000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ROUND(((SUM(C14:C20))*0.05),-3)</f>
        <v>57000</v>
      </c>
      <c r="D13" s="22"/>
      <c r="E13" s="36" t="s">
        <v>71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44</v>
      </c>
      <c r="R13" s="16">
        <v>3500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ROUND(((((SUM(H4))/400)+((SUM(I4:O4))/150))*$R$12),-3)</f>
        <v>29000</v>
      </c>
      <c r="D14" s="22"/>
      <c r="E14" s="36" t="s">
        <v>73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46</v>
      </c>
      <c r="R14" s="16">
        <v>10000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v>0</v>
      </c>
      <c r="D15" s="22"/>
      <c r="E15" s="36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75</v>
      </c>
      <c r="R15" s="16">
        <v>15000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ROUND(((SUM(H5:O5))),-3)</f>
        <v>57000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48</v>
      </c>
      <c r="R16" s="16">
        <f>(160*8)+(160*1.5*2)</f>
        <v>1760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1048000</v>
      </c>
      <c r="D18" s="26"/>
      <c r="E18" s="36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79</v>
      </c>
      <c r="C19" s="25">
        <f>ROUND((((SUM(I4:O4))/R7)*R9),-3)</f>
        <v>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80</v>
      </c>
      <c r="C20" s="25">
        <f>ROUND((((SUM(I4:O4))/R7)*R10),-3)</f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38">
        <v>6.1</v>
      </c>
      <c r="B21" s="28" t="s">
        <v>55</v>
      </c>
      <c r="C21" s="39">
        <f>ROUND((C3*0.075),-3)</f>
        <v>7000</v>
      </c>
      <c r="D21" s="30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Top="1" x14ac:dyDescent="0.25">
      <c r="A22" s="31"/>
      <c r="B22" s="32" t="s">
        <v>56</v>
      </c>
      <c r="C22" s="33">
        <f>ROUNDUP((SUM(C3:C21)),-4)</f>
        <v>1470000</v>
      </c>
      <c r="D22" s="33">
        <f>SUM(D3:D21)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B29" t="s">
        <v>57</v>
      </c>
      <c r="C29" s="34">
        <f>SUM(C3:C6)</f>
        <v>92000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58</v>
      </c>
      <c r="C30" s="34">
        <f>SUM(C7:C9)</f>
        <v>170000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59</v>
      </c>
      <c r="C31" s="34">
        <f>SUM(C10:C21)</f>
        <v>1206000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60</v>
      </c>
      <c r="C32" s="34">
        <f>SUM(C29:C31)</f>
        <v>1468000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7" spans="1:1" x14ac:dyDescent="0.25">
      <c r="A37">
        <v>1</v>
      </c>
    </row>
  </sheetData>
  <mergeCells count="2">
    <mergeCell ref="C2:D2"/>
    <mergeCell ref="Q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6438F-42D3-4722-AFC1-78AE2BBAAEDA}">
  <dimension ref="A1:Y37"/>
  <sheetViews>
    <sheetView zoomScale="80" zoomScaleNormal="80" workbookViewId="0">
      <selection activeCell="E24" sqref="E24"/>
    </sheetView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8" width="11.5703125" bestFit="1" customWidth="1"/>
    <col min="9" max="9" width="4.140625" bestFit="1" customWidth="1"/>
    <col min="10" max="15" width="5" bestFit="1" customWidth="1"/>
    <col min="17" max="17" width="34.140625" bestFit="1" customWidth="1"/>
    <col min="18" max="18" width="8.85546875" bestFit="1" customWidth="1"/>
    <col min="19" max="25" width="6.28515625" bestFit="1" customWidth="1"/>
  </cols>
  <sheetData>
    <row r="1" spans="1:25" x14ac:dyDescent="0.2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88</v>
      </c>
      <c r="C2" s="43" t="s">
        <v>3</v>
      </c>
      <c r="D2" s="44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45" t="s">
        <v>11</v>
      </c>
      <c r="R2" s="45"/>
      <c r="S2" s="45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ROUND((SUM(C13:C20)*0.075),-3)</f>
        <v>35000</v>
      </c>
      <c r="D3" s="11"/>
      <c r="E3" t="s">
        <v>62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0</v>
      </c>
      <c r="D4" s="14"/>
      <c r="E4" t="s">
        <v>64</v>
      </c>
      <c r="G4" s="3" t="s">
        <v>14</v>
      </c>
      <c r="H4" s="12">
        <f>340+75+340+415+70+60+190</f>
        <v>1490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H4*R6</f>
        <v>22350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f>ROUND((((SUM(C13:C20))/1000000)*2500),-3)</f>
        <v>1000</v>
      </c>
      <c r="D6" s="14"/>
      <c r="E6" t="s">
        <v>23</v>
      </c>
      <c r="G6" s="3" t="s">
        <v>66</v>
      </c>
      <c r="H6" s="35">
        <v>0</v>
      </c>
      <c r="I6" s="35">
        <f>I4*S4</f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21</v>
      </c>
      <c r="R6" s="16">
        <v>15</v>
      </c>
      <c r="S6" s="16">
        <v>10</v>
      </c>
      <c r="T6" s="16">
        <v>10</v>
      </c>
      <c r="U6" s="16">
        <v>10</v>
      </c>
      <c r="V6" s="16">
        <v>12</v>
      </c>
      <c r="W6" s="16">
        <v>15</v>
      </c>
      <c r="X6" s="16">
        <v>15</v>
      </c>
      <c r="Y6" s="16">
        <v>20</v>
      </c>
    </row>
    <row r="7" spans="1:25" x14ac:dyDescent="0.25">
      <c r="A7" s="19">
        <v>3.01</v>
      </c>
      <c r="B7" s="9" t="s">
        <v>25</v>
      </c>
      <c r="C7" s="10">
        <f>ROUND((SUM(C13:C20)*0.05),-3)</f>
        <v>23000</v>
      </c>
      <c r="D7" s="14"/>
      <c r="E7" t="s">
        <v>26</v>
      </c>
      <c r="G7" s="3" t="s">
        <v>67</v>
      </c>
      <c r="H7" s="35">
        <f>H4*R5</f>
        <v>409750</v>
      </c>
      <c r="I7" s="35">
        <v>0</v>
      </c>
      <c r="J7" s="35">
        <v>0</v>
      </c>
      <c r="K7" s="35">
        <v>0</v>
      </c>
      <c r="L7" s="35">
        <f>L5*V6</f>
        <v>0</v>
      </c>
      <c r="M7" s="35">
        <f>M5*W6</f>
        <v>0</v>
      </c>
      <c r="N7" s="35">
        <f>N5*X6</f>
        <v>0</v>
      </c>
      <c r="O7" s="35">
        <f>O5*Y6</f>
        <v>0</v>
      </c>
      <c r="P7" s="35"/>
      <c r="Q7" s="3" t="s">
        <v>24</v>
      </c>
      <c r="R7" s="18">
        <v>75</v>
      </c>
      <c r="S7" s="3"/>
      <c r="T7" s="15"/>
      <c r="U7" s="15"/>
      <c r="V7" s="15"/>
      <c r="W7" s="15"/>
      <c r="X7" s="15"/>
      <c r="Y7" s="15"/>
    </row>
    <row r="8" spans="1:25" x14ac:dyDescent="0.25">
      <c r="A8" s="19">
        <v>3.02</v>
      </c>
      <c r="B8" s="9" t="s">
        <v>29</v>
      </c>
      <c r="C8" s="10">
        <f>ROUND((SUM(C13:C20)*0.05),-3)</f>
        <v>23000</v>
      </c>
      <c r="D8" s="14"/>
      <c r="E8" t="s">
        <v>68</v>
      </c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28</v>
      </c>
      <c r="R8" s="18">
        <v>200</v>
      </c>
      <c r="S8" s="3"/>
      <c r="T8" s="3"/>
      <c r="U8" s="3"/>
      <c r="V8" s="3"/>
      <c r="W8" s="3"/>
      <c r="X8" s="3"/>
      <c r="Y8" s="3"/>
    </row>
    <row r="9" spans="1:25" x14ac:dyDescent="0.25">
      <c r="A9" s="19">
        <v>3.03</v>
      </c>
      <c r="B9" s="9" t="s">
        <v>33</v>
      </c>
      <c r="C9" s="10">
        <f>ROUND(((3*(SUM(H4:O4))/400)*$R$16),-3)</f>
        <v>20000</v>
      </c>
      <c r="D9" s="14"/>
      <c r="E9" t="s">
        <v>34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32</v>
      </c>
      <c r="R9" s="16">
        <v>1500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f>ROUND(((H4/1000)*8*250),-3)</f>
        <v>3000</v>
      </c>
      <c r="D10" s="14"/>
      <c r="E10" t="s">
        <v>69</v>
      </c>
      <c r="G10" s="3"/>
      <c r="H10" s="12">
        <f>SUM(H4:O4)</f>
        <v>1490</v>
      </c>
      <c r="I10" s="3"/>
      <c r="J10" s="3"/>
      <c r="K10" s="3"/>
      <c r="L10" s="3"/>
      <c r="M10" s="3"/>
      <c r="N10" s="3"/>
      <c r="O10" s="3"/>
      <c r="P10" s="3"/>
      <c r="Q10" s="3" t="s">
        <v>35</v>
      </c>
      <c r="R10" s="16">
        <v>4000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38</v>
      </c>
      <c r="R11" s="16">
        <v>1500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41</v>
      </c>
      <c r="R12" s="16">
        <v>3000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ROUND(((SUM(C14:C20))*0.05),-3)</f>
        <v>22000</v>
      </c>
      <c r="D13" s="22"/>
      <c r="E13" s="36" t="s">
        <v>71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44</v>
      </c>
      <c r="R13" s="16">
        <v>3500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ROUND(((((SUM(H4))/400)+((SUM(I4:O4))/150))*$R$12),-3)</f>
        <v>11000</v>
      </c>
      <c r="D14" s="22"/>
      <c r="E14" s="36" t="s">
        <v>73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46</v>
      </c>
      <c r="R14" s="16">
        <v>10000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v>0</v>
      </c>
      <c r="D15" s="22"/>
      <c r="E15" s="36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75</v>
      </c>
      <c r="R15" s="16">
        <v>15000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ROUND(((SUM(H5:O5))),-3)</f>
        <v>22000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48</v>
      </c>
      <c r="R16" s="16">
        <f>(160*8)+(160*1.5*2)</f>
        <v>1760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410000</v>
      </c>
      <c r="D18" s="26"/>
      <c r="E18" s="36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79</v>
      </c>
      <c r="C19" s="25">
        <f>ROUND((((SUM(I4:O4))/R7)*R9),-3)</f>
        <v>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80</v>
      </c>
      <c r="C20" s="25">
        <f>ROUND((((SUM(I4:O4))/R7)*R10),-3)</f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38">
        <v>6.1</v>
      </c>
      <c r="B21" s="28" t="s">
        <v>55</v>
      </c>
      <c r="C21" s="39">
        <f>ROUND((C3*0.075),-3)</f>
        <v>3000</v>
      </c>
      <c r="D21" s="30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Top="1" x14ac:dyDescent="0.25">
      <c r="A22" s="31"/>
      <c r="B22" s="32" t="s">
        <v>56</v>
      </c>
      <c r="C22" s="33">
        <f>ROUNDUP((SUM(C3:C21)),-4)</f>
        <v>580000</v>
      </c>
      <c r="D22" s="33">
        <f>SUM(D3:D21)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B29" t="s">
        <v>57</v>
      </c>
      <c r="C29" s="34">
        <f>SUM(C3:C6)</f>
        <v>36000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58</v>
      </c>
      <c r="C30" s="34">
        <f>SUM(C7:C9)</f>
        <v>66000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59</v>
      </c>
      <c r="C31" s="34">
        <f>SUM(C10:C21)</f>
        <v>471000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60</v>
      </c>
      <c r="C32" s="34">
        <f>SUM(C29:C31)</f>
        <v>573000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7" spans="1:1" x14ac:dyDescent="0.25">
      <c r="A37">
        <v>1</v>
      </c>
    </row>
  </sheetData>
  <mergeCells count="2">
    <mergeCell ref="C2:D2"/>
    <mergeCell ref="Q2: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6AA9C-3BB0-4991-B50B-A33C9B9FC1BF}">
  <dimension ref="A1:Y37"/>
  <sheetViews>
    <sheetView zoomScale="80" zoomScaleNormal="80" workbookViewId="0">
      <selection activeCell="H5" sqref="H5"/>
    </sheetView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8" width="11.5703125" bestFit="1" customWidth="1"/>
    <col min="9" max="9" width="4.140625" bestFit="1" customWidth="1"/>
    <col min="10" max="15" width="5" bestFit="1" customWidth="1"/>
    <col min="17" max="17" width="34.140625" bestFit="1" customWidth="1"/>
    <col min="18" max="18" width="8.85546875" bestFit="1" customWidth="1"/>
    <col min="19" max="25" width="6.28515625" bestFit="1" customWidth="1"/>
  </cols>
  <sheetData>
    <row r="1" spans="1:25" x14ac:dyDescent="0.2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88</v>
      </c>
      <c r="C2" s="43" t="s">
        <v>3</v>
      </c>
      <c r="D2" s="44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45" t="s">
        <v>11</v>
      </c>
      <c r="R2" s="45"/>
      <c r="S2" s="45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ROUND((SUM(C13:C20)*0.075),-3)</f>
        <v>43000</v>
      </c>
      <c r="D3" s="11"/>
      <c r="E3" t="s">
        <v>62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0</v>
      </c>
      <c r="D4" s="14"/>
      <c r="E4" t="s">
        <v>64</v>
      </c>
      <c r="G4" s="3" t="s">
        <v>14</v>
      </c>
      <c r="H4" s="12">
        <f>250+400+400+400+380</f>
        <v>1830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H4*R6</f>
        <v>27450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f>ROUND((((SUM(C13:C20))/1000000)*2500),-3)</f>
        <v>1000</v>
      </c>
      <c r="D6" s="14"/>
      <c r="E6" t="s">
        <v>23</v>
      </c>
      <c r="G6" s="3" t="s">
        <v>66</v>
      </c>
      <c r="H6" s="35">
        <v>0</v>
      </c>
      <c r="I6" s="35">
        <f>I4*S4</f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21</v>
      </c>
      <c r="R6" s="16">
        <v>15</v>
      </c>
      <c r="S6" s="16">
        <v>10</v>
      </c>
      <c r="T6" s="16">
        <v>10</v>
      </c>
      <c r="U6" s="16">
        <v>10</v>
      </c>
      <c r="V6" s="16">
        <v>12</v>
      </c>
      <c r="W6" s="16">
        <v>15</v>
      </c>
      <c r="X6" s="16">
        <v>15</v>
      </c>
      <c r="Y6" s="16">
        <v>20</v>
      </c>
    </row>
    <row r="7" spans="1:25" x14ac:dyDescent="0.25">
      <c r="A7" s="19">
        <v>3.01</v>
      </c>
      <c r="B7" s="9" t="s">
        <v>25</v>
      </c>
      <c r="C7" s="10">
        <f>ROUND((SUM(C13:C20)*0.05),-3)</f>
        <v>29000</v>
      </c>
      <c r="D7" s="14"/>
      <c r="E7" t="s">
        <v>26</v>
      </c>
      <c r="G7" s="3" t="s">
        <v>67</v>
      </c>
      <c r="H7" s="35">
        <f>H4*R5</f>
        <v>503250</v>
      </c>
      <c r="I7" s="35">
        <v>0</v>
      </c>
      <c r="J7" s="35">
        <v>0</v>
      </c>
      <c r="K7" s="35">
        <v>0</v>
      </c>
      <c r="L7" s="35">
        <f>L5*V6</f>
        <v>0</v>
      </c>
      <c r="M7" s="35">
        <f>M5*W6</f>
        <v>0</v>
      </c>
      <c r="N7" s="35">
        <f>N5*X6</f>
        <v>0</v>
      </c>
      <c r="O7" s="35">
        <f>O5*Y6</f>
        <v>0</v>
      </c>
      <c r="P7" s="35"/>
      <c r="Q7" s="3" t="s">
        <v>24</v>
      </c>
      <c r="R7" s="18">
        <v>75</v>
      </c>
      <c r="S7" s="3"/>
      <c r="T7" s="15"/>
      <c r="U7" s="15"/>
      <c r="V7" s="15"/>
      <c r="W7" s="15"/>
      <c r="X7" s="15"/>
      <c r="Y7" s="15"/>
    </row>
    <row r="8" spans="1:25" x14ac:dyDescent="0.25">
      <c r="A8" s="19">
        <v>3.02</v>
      </c>
      <c r="B8" s="9" t="s">
        <v>29</v>
      </c>
      <c r="C8" s="10">
        <f>ROUND((SUM(C13:C20)*0.05),-3)</f>
        <v>29000</v>
      </c>
      <c r="D8" s="14"/>
      <c r="E8" t="s">
        <v>68</v>
      </c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28</v>
      </c>
      <c r="R8" s="18">
        <v>200</v>
      </c>
      <c r="S8" s="3"/>
      <c r="T8" s="3"/>
      <c r="U8" s="3"/>
      <c r="V8" s="3"/>
      <c r="W8" s="3"/>
      <c r="X8" s="3"/>
      <c r="Y8" s="3"/>
    </row>
    <row r="9" spans="1:25" x14ac:dyDescent="0.25">
      <c r="A9" s="19">
        <v>3.03</v>
      </c>
      <c r="B9" s="9" t="s">
        <v>33</v>
      </c>
      <c r="C9" s="10">
        <f>ROUND(((3*(SUM(H4:O4))/400)*$R$16),-3)</f>
        <v>24000</v>
      </c>
      <c r="D9" s="14"/>
      <c r="E9" t="s">
        <v>34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32</v>
      </c>
      <c r="R9" s="16">
        <v>1500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f>ROUND(((H4/1000)*8*250),-3)</f>
        <v>4000</v>
      </c>
      <c r="D10" s="14"/>
      <c r="E10" t="s">
        <v>69</v>
      </c>
      <c r="G10" s="3"/>
      <c r="H10" s="12">
        <f>SUM(H4:O4)</f>
        <v>1830</v>
      </c>
      <c r="I10" s="3"/>
      <c r="J10" s="3"/>
      <c r="K10" s="3"/>
      <c r="L10" s="3"/>
      <c r="M10" s="3"/>
      <c r="N10" s="3"/>
      <c r="O10" s="3"/>
      <c r="P10" s="3"/>
      <c r="Q10" s="3" t="s">
        <v>35</v>
      </c>
      <c r="R10" s="16">
        <v>4000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38</v>
      </c>
      <c r="R11" s="16">
        <v>1500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41</v>
      </c>
      <c r="R12" s="16">
        <v>3000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ROUND(((SUM(C14:C20))*0.05),-3)</f>
        <v>27000</v>
      </c>
      <c r="D13" s="22"/>
      <c r="E13" s="36" t="s">
        <v>71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44</v>
      </c>
      <c r="R13" s="16">
        <v>3500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ROUND(((((SUM(H4))/400)+((SUM(I4:O4))/150))*$R$12),-3)</f>
        <v>14000</v>
      </c>
      <c r="D14" s="22"/>
      <c r="E14" s="36" t="s">
        <v>73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46</v>
      </c>
      <c r="R14" s="16">
        <v>10000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v>0</v>
      </c>
      <c r="D15" s="22"/>
      <c r="E15" s="36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75</v>
      </c>
      <c r="R15" s="16">
        <v>15000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ROUND(((SUM(H5:O5))),-3)</f>
        <v>27000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48</v>
      </c>
      <c r="R16" s="16">
        <f>(160*8)+(160*1.5*2)</f>
        <v>1760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503000</v>
      </c>
      <c r="D18" s="26"/>
      <c r="E18" s="36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79</v>
      </c>
      <c r="C19" s="25">
        <f>ROUND((((SUM(I4:O4))/R7)*R9),-3)</f>
        <v>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80</v>
      </c>
      <c r="C20" s="25">
        <f>ROUND((((SUM(I4:O4))/R7)*R10),-3)</f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38">
        <v>6.1</v>
      </c>
      <c r="B21" s="28" t="s">
        <v>55</v>
      </c>
      <c r="C21" s="39">
        <f>ROUND((C3*0.075),-3)</f>
        <v>3000</v>
      </c>
      <c r="D21" s="30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Top="1" x14ac:dyDescent="0.25">
      <c r="A22" s="31"/>
      <c r="B22" s="32" t="s">
        <v>56</v>
      </c>
      <c r="C22" s="33">
        <f>ROUNDUP((SUM(C3:C21)),-4)</f>
        <v>710000</v>
      </c>
      <c r="D22" s="33">
        <f>SUM(D3:D21)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B29" t="s">
        <v>57</v>
      </c>
      <c r="C29" s="34">
        <f>SUM(C3:C6)</f>
        <v>44000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58</v>
      </c>
      <c r="C30" s="34">
        <f>SUM(C7:C9)</f>
        <v>82000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59</v>
      </c>
      <c r="C31" s="34">
        <f>SUM(C10:C21)</f>
        <v>578000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60</v>
      </c>
      <c r="C32" s="34">
        <f>SUM(C29:C31)</f>
        <v>704000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7" spans="1:1" x14ac:dyDescent="0.25">
      <c r="A37">
        <v>1</v>
      </c>
    </row>
  </sheetData>
  <mergeCells count="2">
    <mergeCell ref="C2:D2"/>
    <mergeCell ref="Q2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4BA7-D979-4A8D-A82E-67ADE457A856}">
  <dimension ref="A1:Y37"/>
  <sheetViews>
    <sheetView zoomScale="80" zoomScaleNormal="80" workbookViewId="0">
      <selection activeCell="E49" sqref="E49"/>
    </sheetView>
  </sheetViews>
  <sheetFormatPr defaultRowHeight="15" x14ac:dyDescent="0.25"/>
  <cols>
    <col min="1" max="1" width="5.5703125" bestFit="1" customWidth="1"/>
    <col min="2" max="2" width="51.28515625" bestFit="1" customWidth="1"/>
    <col min="3" max="3" width="12.28515625" bestFit="1" customWidth="1"/>
    <col min="4" max="4" width="6.5703125" bestFit="1" customWidth="1"/>
    <col min="5" max="5" width="74.140625" bestFit="1" customWidth="1"/>
    <col min="7" max="7" width="14.42578125" bestFit="1" customWidth="1"/>
    <col min="8" max="8" width="11.5703125" bestFit="1" customWidth="1"/>
    <col min="9" max="9" width="4.140625" bestFit="1" customWidth="1"/>
    <col min="10" max="15" width="5" bestFit="1" customWidth="1"/>
    <col min="17" max="17" width="34.140625" bestFit="1" customWidth="1"/>
    <col min="18" max="18" width="8.85546875" bestFit="1" customWidth="1"/>
    <col min="19" max="25" width="6.28515625" bestFit="1" customWidth="1"/>
  </cols>
  <sheetData>
    <row r="1" spans="1:25" x14ac:dyDescent="0.2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4" t="s">
        <v>2</v>
      </c>
      <c r="B2" s="5" t="s">
        <v>88</v>
      </c>
      <c r="C2" s="43" t="s">
        <v>3</v>
      </c>
      <c r="D2" s="44"/>
      <c r="E2" t="s">
        <v>61</v>
      </c>
      <c r="G2" s="3"/>
      <c r="H2" s="3"/>
      <c r="I2" s="3"/>
      <c r="J2" s="3"/>
      <c r="K2" s="3"/>
      <c r="L2" s="3"/>
      <c r="M2" s="3"/>
      <c r="N2" s="3"/>
      <c r="O2" s="3"/>
      <c r="P2" s="3"/>
      <c r="Q2" s="45" t="s">
        <v>11</v>
      </c>
      <c r="R2" s="45"/>
      <c r="S2" s="45"/>
      <c r="T2" s="3"/>
      <c r="U2" s="3"/>
      <c r="V2" s="3"/>
      <c r="W2" s="3"/>
      <c r="X2" s="3"/>
      <c r="Y2" s="3"/>
    </row>
    <row r="3" spans="1:25" x14ac:dyDescent="0.25">
      <c r="A3" s="8">
        <v>1.01</v>
      </c>
      <c r="B3" s="9" t="s">
        <v>12</v>
      </c>
      <c r="C3" s="10">
        <f>ROUND((SUM(C13:C20)*0.075),-3)</f>
        <v>11000</v>
      </c>
      <c r="D3" s="11"/>
      <c r="E3" t="s">
        <v>62</v>
      </c>
      <c r="G3" s="3"/>
      <c r="H3" s="3" t="s">
        <v>63</v>
      </c>
      <c r="I3" s="3" t="s">
        <v>4</v>
      </c>
      <c r="J3" s="6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/>
      <c r="Q3" s="3"/>
      <c r="R3" s="3" t="s">
        <v>63</v>
      </c>
      <c r="S3" s="3" t="s">
        <v>4</v>
      </c>
      <c r="T3" s="6" t="s">
        <v>5</v>
      </c>
      <c r="U3" s="3" t="s">
        <v>6</v>
      </c>
      <c r="V3" s="3" t="s">
        <v>7</v>
      </c>
      <c r="W3" s="3" t="s">
        <v>8</v>
      </c>
      <c r="X3" s="3" t="s">
        <v>9</v>
      </c>
      <c r="Y3" s="3" t="s">
        <v>10</v>
      </c>
    </row>
    <row r="4" spans="1:25" x14ac:dyDescent="0.25">
      <c r="A4" s="8">
        <v>1.02</v>
      </c>
      <c r="B4" s="9" t="s">
        <v>15</v>
      </c>
      <c r="C4" s="10">
        <v>0</v>
      </c>
      <c r="D4" s="14"/>
      <c r="E4" t="s">
        <v>64</v>
      </c>
      <c r="G4" s="3" t="s">
        <v>14</v>
      </c>
      <c r="H4" s="12">
        <f>490</f>
        <v>490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/>
      <c r="Q4" s="3" t="s">
        <v>17</v>
      </c>
      <c r="R4" s="16">
        <v>75</v>
      </c>
      <c r="S4" s="16">
        <v>50</v>
      </c>
      <c r="T4" s="16">
        <v>60</v>
      </c>
      <c r="U4" s="16">
        <v>100</v>
      </c>
      <c r="V4" s="16">
        <v>200</v>
      </c>
      <c r="W4" s="16">
        <v>225</v>
      </c>
      <c r="X4" s="16">
        <v>250</v>
      </c>
      <c r="Y4" s="16">
        <v>300</v>
      </c>
    </row>
    <row r="5" spans="1:25" x14ac:dyDescent="0.25">
      <c r="A5" s="8">
        <v>2.0099999999999998</v>
      </c>
      <c r="B5" s="9" t="s">
        <v>18</v>
      </c>
      <c r="C5" s="10">
        <v>0</v>
      </c>
      <c r="D5" s="14"/>
      <c r="E5" t="s">
        <v>19</v>
      </c>
      <c r="G5" s="3" t="s">
        <v>16</v>
      </c>
      <c r="H5" s="35">
        <f t="shared" ref="H5:O5" si="0">H4*R6</f>
        <v>7350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/>
      <c r="Q5" s="3" t="s">
        <v>65</v>
      </c>
      <c r="R5" s="16">
        <v>275</v>
      </c>
      <c r="S5" s="16">
        <v>275</v>
      </c>
      <c r="T5" s="16">
        <v>300</v>
      </c>
      <c r="U5" s="16">
        <v>325</v>
      </c>
      <c r="V5" s="16">
        <v>350</v>
      </c>
      <c r="W5" s="16">
        <v>450</v>
      </c>
      <c r="X5" s="16">
        <v>500</v>
      </c>
      <c r="Y5" s="16">
        <v>600</v>
      </c>
    </row>
    <row r="6" spans="1:25" x14ac:dyDescent="0.25">
      <c r="A6" s="8">
        <v>2.02</v>
      </c>
      <c r="B6" s="9" t="s">
        <v>22</v>
      </c>
      <c r="C6" s="10">
        <f>ROUND((((SUM(C13:C20))/1000000)*2500),-3)</f>
        <v>0</v>
      </c>
      <c r="D6" s="14"/>
      <c r="E6" t="s">
        <v>23</v>
      </c>
      <c r="G6" s="3" t="s">
        <v>66</v>
      </c>
      <c r="H6" s="35">
        <v>0</v>
      </c>
      <c r="I6" s="35">
        <f>I4*S4</f>
        <v>0</v>
      </c>
      <c r="J6" s="35">
        <f t="shared" ref="J6:O6" si="1">J4*T4</f>
        <v>0</v>
      </c>
      <c r="K6" s="35">
        <f t="shared" si="1"/>
        <v>0</v>
      </c>
      <c r="L6" s="35">
        <f t="shared" si="1"/>
        <v>0</v>
      </c>
      <c r="M6" s="35">
        <f t="shared" si="1"/>
        <v>0</v>
      </c>
      <c r="N6" s="35">
        <f t="shared" si="1"/>
        <v>0</v>
      </c>
      <c r="O6" s="35">
        <f t="shared" si="1"/>
        <v>0</v>
      </c>
      <c r="P6" s="35"/>
      <c r="Q6" s="3" t="s">
        <v>21</v>
      </c>
      <c r="R6" s="16">
        <v>15</v>
      </c>
      <c r="S6" s="16">
        <v>10</v>
      </c>
      <c r="T6" s="16">
        <v>10</v>
      </c>
      <c r="U6" s="16">
        <v>10</v>
      </c>
      <c r="V6" s="16">
        <v>12</v>
      </c>
      <c r="W6" s="16">
        <v>15</v>
      </c>
      <c r="X6" s="16">
        <v>15</v>
      </c>
      <c r="Y6" s="16">
        <v>20</v>
      </c>
    </row>
    <row r="7" spans="1:25" x14ac:dyDescent="0.25">
      <c r="A7" s="19">
        <v>3.01</v>
      </c>
      <c r="B7" s="9" t="s">
        <v>25</v>
      </c>
      <c r="C7" s="10">
        <f>ROUND((SUM(C13:C20)*0.05),-3)</f>
        <v>8000</v>
      </c>
      <c r="D7" s="14"/>
      <c r="E7" t="s">
        <v>26</v>
      </c>
      <c r="G7" s="3" t="s">
        <v>67</v>
      </c>
      <c r="H7" s="35">
        <f>H4*R5</f>
        <v>134750</v>
      </c>
      <c r="I7" s="35">
        <v>0</v>
      </c>
      <c r="J7" s="35">
        <v>0</v>
      </c>
      <c r="K7" s="35">
        <v>0</v>
      </c>
      <c r="L7" s="35">
        <f>L5*V6</f>
        <v>0</v>
      </c>
      <c r="M7" s="35">
        <f>M5*W6</f>
        <v>0</v>
      </c>
      <c r="N7" s="35">
        <f>N5*X6</f>
        <v>0</v>
      </c>
      <c r="O7" s="35">
        <f>O5*Y6</f>
        <v>0</v>
      </c>
      <c r="P7" s="35"/>
      <c r="Q7" s="3" t="s">
        <v>24</v>
      </c>
      <c r="R7" s="18">
        <v>75</v>
      </c>
      <c r="S7" s="3"/>
      <c r="T7" s="15"/>
      <c r="U7" s="15"/>
      <c r="V7" s="15"/>
      <c r="W7" s="15"/>
      <c r="X7" s="15"/>
      <c r="Y7" s="15"/>
    </row>
    <row r="8" spans="1:25" x14ac:dyDescent="0.25">
      <c r="A8" s="19">
        <v>3.02</v>
      </c>
      <c r="B8" s="9" t="s">
        <v>29</v>
      </c>
      <c r="C8" s="10">
        <f>ROUND((SUM(C13:C20)*0.05),-3)</f>
        <v>8000</v>
      </c>
      <c r="D8" s="14"/>
      <c r="E8" t="s">
        <v>68</v>
      </c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28</v>
      </c>
      <c r="R8" s="18">
        <v>200</v>
      </c>
      <c r="S8" s="3"/>
      <c r="T8" s="3"/>
      <c r="U8" s="3"/>
      <c r="V8" s="3"/>
      <c r="W8" s="3"/>
      <c r="X8" s="3"/>
      <c r="Y8" s="3"/>
    </row>
    <row r="9" spans="1:25" x14ac:dyDescent="0.25">
      <c r="A9" s="19">
        <v>3.03</v>
      </c>
      <c r="B9" s="9" t="s">
        <v>33</v>
      </c>
      <c r="C9" s="10">
        <f>ROUND(((3*(SUM(H4:O4))/400)*$R$16),-3)</f>
        <v>6000</v>
      </c>
      <c r="D9" s="14"/>
      <c r="E9" t="s">
        <v>34</v>
      </c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32</v>
      </c>
      <c r="R9" s="16">
        <v>1500</v>
      </c>
      <c r="S9" s="3"/>
      <c r="T9" s="3"/>
      <c r="U9" s="3"/>
      <c r="V9" s="3"/>
      <c r="W9" s="3"/>
      <c r="X9" s="3"/>
      <c r="Y9" s="3"/>
    </row>
    <row r="10" spans="1:25" x14ac:dyDescent="0.25">
      <c r="A10" s="19">
        <v>3.04</v>
      </c>
      <c r="B10" s="9" t="s">
        <v>36</v>
      </c>
      <c r="C10" s="10">
        <f>ROUND(((H4/1000)*8*250),-3)</f>
        <v>1000</v>
      </c>
      <c r="D10" s="14"/>
      <c r="E10" t="s">
        <v>69</v>
      </c>
      <c r="G10" s="3"/>
      <c r="H10" s="12">
        <f>SUM(H4:O4)</f>
        <v>490</v>
      </c>
      <c r="I10" s="3"/>
      <c r="J10" s="3"/>
      <c r="K10" s="3"/>
      <c r="L10" s="3"/>
      <c r="M10" s="3"/>
      <c r="N10" s="3"/>
      <c r="O10" s="3"/>
      <c r="P10" s="3"/>
      <c r="Q10" s="3" t="s">
        <v>35</v>
      </c>
      <c r="R10" s="16">
        <v>4000</v>
      </c>
      <c r="S10" s="3"/>
      <c r="T10" s="3"/>
      <c r="U10" s="3"/>
      <c r="V10" s="3"/>
      <c r="W10" s="3"/>
      <c r="X10" s="3"/>
      <c r="Y10" s="3"/>
    </row>
    <row r="11" spans="1:25" x14ac:dyDescent="0.25">
      <c r="A11" s="19">
        <v>4.01</v>
      </c>
      <c r="B11" s="9" t="s">
        <v>39</v>
      </c>
      <c r="C11" s="10">
        <v>0</v>
      </c>
      <c r="D11" s="14"/>
      <c r="E11" t="s">
        <v>70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 t="s">
        <v>38</v>
      </c>
      <c r="R11" s="16">
        <v>1500</v>
      </c>
      <c r="S11" s="3"/>
      <c r="T11" s="3"/>
      <c r="U11" s="3"/>
      <c r="V11" s="3"/>
      <c r="W11" s="3"/>
      <c r="X11" s="3"/>
      <c r="Y11" s="3"/>
    </row>
    <row r="12" spans="1:25" x14ac:dyDescent="0.25">
      <c r="A12" s="19">
        <v>4.0199999999999996</v>
      </c>
      <c r="B12" s="9" t="s">
        <v>42</v>
      </c>
      <c r="C12" s="10">
        <v>0</v>
      </c>
      <c r="D12" s="14"/>
      <c r="E12" t="s">
        <v>43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 t="s">
        <v>41</v>
      </c>
      <c r="R12" s="16">
        <v>3000</v>
      </c>
      <c r="S12" s="3"/>
      <c r="T12" s="3"/>
      <c r="U12" s="3"/>
      <c r="V12" s="3"/>
      <c r="W12" s="3"/>
      <c r="X12" s="3"/>
      <c r="Y12" s="3"/>
    </row>
    <row r="13" spans="1:25" x14ac:dyDescent="0.25">
      <c r="A13" s="19">
        <v>5.01</v>
      </c>
      <c r="B13" s="20" t="s">
        <v>45</v>
      </c>
      <c r="C13" s="21">
        <f>ROUND(((SUM(C14:C20))*0.05),-3)</f>
        <v>7000</v>
      </c>
      <c r="D13" s="22"/>
      <c r="E13" s="36" t="s">
        <v>71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44</v>
      </c>
      <c r="R13" s="16">
        <v>3500</v>
      </c>
      <c r="S13" s="3"/>
      <c r="T13" s="3"/>
      <c r="U13" s="3"/>
      <c r="V13" s="3"/>
      <c r="W13" s="3"/>
      <c r="X13" s="3"/>
      <c r="Y13" s="3"/>
    </row>
    <row r="14" spans="1:25" x14ac:dyDescent="0.25">
      <c r="A14" s="19">
        <v>5.0199999999999996</v>
      </c>
      <c r="B14" s="20" t="s">
        <v>72</v>
      </c>
      <c r="C14" s="21">
        <f>ROUND(((((SUM(H4))/400)+((SUM(I4:O4))/150))*$R$12),-3)</f>
        <v>4000</v>
      </c>
      <c r="D14" s="22"/>
      <c r="E14" s="36" t="s">
        <v>73</v>
      </c>
      <c r="G14" s="3"/>
      <c r="H14" s="3"/>
      <c r="I14" s="3"/>
      <c r="J14" s="37"/>
      <c r="K14" s="3"/>
      <c r="L14" s="3"/>
      <c r="M14" s="3"/>
      <c r="N14" s="3"/>
      <c r="O14" s="3"/>
      <c r="P14" s="3"/>
      <c r="Q14" s="3" t="s">
        <v>46</v>
      </c>
      <c r="R14" s="16">
        <v>10000</v>
      </c>
      <c r="S14" s="3"/>
      <c r="T14" s="3"/>
      <c r="U14" s="3"/>
      <c r="V14" s="3"/>
      <c r="W14" s="3"/>
      <c r="X14" s="3"/>
      <c r="Y14" s="3"/>
    </row>
    <row r="15" spans="1:25" x14ac:dyDescent="0.25">
      <c r="A15" s="19">
        <v>5.03</v>
      </c>
      <c r="B15" s="20" t="s">
        <v>49</v>
      </c>
      <c r="C15" s="21">
        <v>0</v>
      </c>
      <c r="D15" s="22"/>
      <c r="E15" s="36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 t="s">
        <v>75</v>
      </c>
      <c r="R15" s="16">
        <v>15000</v>
      </c>
      <c r="S15" s="3"/>
      <c r="T15" s="3"/>
      <c r="U15" s="3"/>
      <c r="V15" s="3"/>
      <c r="W15" s="3"/>
      <c r="X15" s="3"/>
      <c r="Y15" s="3"/>
    </row>
    <row r="16" spans="1:25" x14ac:dyDescent="0.25">
      <c r="A16" s="19">
        <v>5.04</v>
      </c>
      <c r="B16" s="20" t="s">
        <v>50</v>
      </c>
      <c r="C16" s="23">
        <f>ROUND(((SUM(H5:O5))),-3)</f>
        <v>7000</v>
      </c>
      <c r="D16" s="22"/>
      <c r="E16" s="36"/>
      <c r="G16" s="3"/>
      <c r="H16" s="3"/>
      <c r="I16" s="3"/>
      <c r="J16" s="3"/>
      <c r="K16" s="3"/>
      <c r="L16" s="3"/>
      <c r="M16" s="3"/>
      <c r="N16" s="3"/>
      <c r="O16" s="3"/>
      <c r="P16" s="3"/>
      <c r="Q16" s="3" t="s">
        <v>48</v>
      </c>
      <c r="R16" s="16">
        <f>(160*8)+(160*1.5*2)</f>
        <v>1760</v>
      </c>
      <c r="S16" s="3"/>
      <c r="T16" s="3"/>
      <c r="U16" s="3"/>
      <c r="V16" s="3"/>
      <c r="W16" s="3"/>
      <c r="X16" s="3"/>
      <c r="Y16" s="3"/>
    </row>
    <row r="17" spans="1:25" x14ac:dyDescent="0.25">
      <c r="A17" s="19">
        <v>5.05</v>
      </c>
      <c r="B17" s="20" t="s">
        <v>76</v>
      </c>
      <c r="C17" s="21">
        <f>ROUND((SUM(H6:O6)),-3)</f>
        <v>0</v>
      </c>
      <c r="D17" s="22"/>
      <c r="E17" s="3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19">
        <v>5.0599999999999996</v>
      </c>
      <c r="B18" s="24" t="s">
        <v>77</v>
      </c>
      <c r="C18" s="25">
        <f>ROUND((SUM(H7:O7)),-3)</f>
        <v>135000</v>
      </c>
      <c r="D18" s="26"/>
      <c r="E18" s="36" t="s">
        <v>78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19">
        <v>5.07</v>
      </c>
      <c r="B19" s="24" t="s">
        <v>79</v>
      </c>
      <c r="C19" s="25">
        <f>ROUND((((SUM(I4:O4))/R7)*R9),-3)</f>
        <v>0</v>
      </c>
      <c r="D19" s="26"/>
      <c r="E19" s="3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19">
        <v>5.08</v>
      </c>
      <c r="B20" s="24" t="s">
        <v>80</v>
      </c>
      <c r="C20" s="25">
        <f>ROUND((((SUM(I4:O4))/R7)*R10),-3)</f>
        <v>0</v>
      </c>
      <c r="D20" s="26"/>
      <c r="E20" s="3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thickBot="1" x14ac:dyDescent="0.3">
      <c r="A21" s="38">
        <v>6.1</v>
      </c>
      <c r="B21" s="28" t="s">
        <v>55</v>
      </c>
      <c r="C21" s="39">
        <f>ROUND((C3*0.075),-3)</f>
        <v>1000</v>
      </c>
      <c r="D21" s="30"/>
      <c r="E21" s="3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thickTop="1" x14ac:dyDescent="0.25">
      <c r="A22" s="31"/>
      <c r="B22" s="32" t="s">
        <v>56</v>
      </c>
      <c r="C22" s="33">
        <f>ROUNDUP((SUM(C3:C21)),-4)</f>
        <v>190000</v>
      </c>
      <c r="D22" s="33">
        <f>SUM(D3:D21)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E28" s="3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5">
      <c r="B29" t="s">
        <v>57</v>
      </c>
      <c r="C29" s="34">
        <f>SUM(C3:C6)</f>
        <v>11000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B30" t="s">
        <v>58</v>
      </c>
      <c r="C30" s="34">
        <f>SUM(C7:C9)</f>
        <v>22000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B31" t="s">
        <v>59</v>
      </c>
      <c r="C31" s="34">
        <f>SUM(C10:C21)</f>
        <v>155000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B32" t="s">
        <v>60</v>
      </c>
      <c r="C32" s="34">
        <f>SUM(C29:C31)</f>
        <v>188000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7" spans="1:1" x14ac:dyDescent="0.25">
      <c r="A37">
        <v>1</v>
      </c>
    </row>
  </sheetData>
  <mergeCells count="2">
    <mergeCell ref="C2:D2"/>
    <mergeCell ref="Q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55AD-A250-4687-9F8D-C796E050C886}">
  <dimension ref="A1:X32"/>
  <sheetViews>
    <sheetView zoomScale="80" zoomScaleNormal="80" workbookViewId="0">
      <selection activeCell="B29" sqref="B29:C32"/>
    </sheetView>
  </sheetViews>
  <sheetFormatPr defaultRowHeight="15" x14ac:dyDescent="0.25"/>
  <cols>
    <col min="1" max="1" width="5.5703125" bestFit="1" customWidth="1"/>
    <col min="2" max="2" width="62.28515625" bestFit="1" customWidth="1"/>
    <col min="3" max="3" width="12.28515625" bestFit="1" customWidth="1"/>
    <col min="4" max="4" width="6.5703125" bestFit="1" customWidth="1"/>
    <col min="5" max="5" width="49.85546875" bestFit="1" customWidth="1"/>
    <col min="6" max="6" width="7.42578125" bestFit="1" customWidth="1"/>
    <col min="7" max="11" width="6.42578125" bestFit="1" customWidth="1"/>
    <col min="12" max="12" width="12.7109375" bestFit="1" customWidth="1"/>
    <col min="13" max="13" width="6.42578125" bestFit="1" customWidth="1"/>
    <col min="17" max="17" width="34.140625" bestFit="1" customWidth="1"/>
    <col min="18" max="18" width="8.85546875" bestFit="1" customWidth="1"/>
    <col min="19" max="19" width="5.140625" bestFit="1" customWidth="1"/>
    <col min="20" max="24" width="6.28515625" bestFit="1" customWidth="1"/>
  </cols>
  <sheetData>
    <row r="1" spans="1:24" x14ac:dyDescent="0.25">
      <c r="B1" t="s">
        <v>81</v>
      </c>
      <c r="F1" s="3"/>
      <c r="G1" s="3"/>
      <c r="H1" s="3"/>
      <c r="I1" s="3"/>
      <c r="J1" s="3"/>
      <c r="K1" s="3"/>
      <c r="L1" s="3"/>
      <c r="M1" s="3"/>
    </row>
    <row r="2" spans="1:24" x14ac:dyDescent="0.25">
      <c r="A2" s="4" t="s">
        <v>2</v>
      </c>
      <c r="B2" s="5" t="s">
        <v>82</v>
      </c>
      <c r="C2" s="43" t="s">
        <v>3</v>
      </c>
      <c r="D2" s="44"/>
      <c r="F2" s="3"/>
      <c r="G2" s="3" t="s">
        <v>4</v>
      </c>
      <c r="H2" s="6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Q2" s="45" t="s">
        <v>11</v>
      </c>
      <c r="R2" s="45"/>
      <c r="S2" s="3"/>
      <c r="T2" s="3"/>
      <c r="U2" s="3"/>
      <c r="V2" s="3"/>
      <c r="W2" s="3"/>
      <c r="X2" s="3"/>
    </row>
    <row r="3" spans="1:24" x14ac:dyDescent="0.25">
      <c r="A3" s="8">
        <v>1.01</v>
      </c>
      <c r="B3" s="9" t="s">
        <v>12</v>
      </c>
      <c r="C3" s="10">
        <f>ROUND((SUM(C13:C19)*0.075),-3)</f>
        <v>73000</v>
      </c>
      <c r="D3" s="11"/>
      <c r="E3" t="s">
        <v>62</v>
      </c>
      <c r="F3" s="3" t="s">
        <v>14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f>143+118+450+288+452+163+240+205+387+34</f>
        <v>2480</v>
      </c>
      <c r="M3" s="12">
        <v>0</v>
      </c>
      <c r="Q3" s="3"/>
      <c r="R3" s="3" t="s">
        <v>4</v>
      </c>
      <c r="S3" s="6" t="s">
        <v>5</v>
      </c>
      <c r="T3" s="3" t="s">
        <v>6</v>
      </c>
      <c r="U3" s="3" t="s">
        <v>7</v>
      </c>
      <c r="V3" s="3" t="s">
        <v>8</v>
      </c>
      <c r="W3" s="3" t="s">
        <v>9</v>
      </c>
      <c r="X3" s="3" t="s">
        <v>10</v>
      </c>
    </row>
    <row r="4" spans="1:24" x14ac:dyDescent="0.25">
      <c r="A4" s="8">
        <v>1.02</v>
      </c>
      <c r="B4" s="9" t="s">
        <v>15</v>
      </c>
      <c r="C4" s="10">
        <v>0</v>
      </c>
      <c r="D4" s="14"/>
      <c r="F4" s="3" t="s">
        <v>16</v>
      </c>
      <c r="G4" s="15">
        <f>G3*R5</f>
        <v>0</v>
      </c>
      <c r="H4" s="15">
        <f t="shared" ref="H4:M4" si="0">H3*S5</f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37200</v>
      </c>
      <c r="M4" s="15">
        <f t="shared" si="0"/>
        <v>0</v>
      </c>
      <c r="Q4" s="3" t="s">
        <v>17</v>
      </c>
      <c r="R4" s="16">
        <v>50</v>
      </c>
      <c r="S4" s="16">
        <v>60</v>
      </c>
      <c r="T4" s="16">
        <v>100</v>
      </c>
      <c r="U4" s="16">
        <v>200</v>
      </c>
      <c r="V4" s="16">
        <v>225</v>
      </c>
      <c r="W4" s="16">
        <v>250</v>
      </c>
      <c r="X4" s="16">
        <v>300</v>
      </c>
    </row>
    <row r="5" spans="1:24" x14ac:dyDescent="0.25">
      <c r="A5" s="8">
        <v>2.0099999999999998</v>
      </c>
      <c r="B5" s="9" t="s">
        <v>18</v>
      </c>
      <c r="C5" s="17">
        <v>0</v>
      </c>
      <c r="D5" s="14"/>
      <c r="E5" t="s">
        <v>19</v>
      </c>
      <c r="F5" s="3" t="s">
        <v>20</v>
      </c>
      <c r="G5" s="15">
        <f>G3*R4</f>
        <v>0</v>
      </c>
      <c r="H5" s="15">
        <f t="shared" ref="H5:M5" si="1">H3*S4</f>
        <v>0</v>
      </c>
      <c r="I5" s="15">
        <f t="shared" si="1"/>
        <v>0</v>
      </c>
      <c r="J5" s="15">
        <f t="shared" si="1"/>
        <v>0</v>
      </c>
      <c r="K5" s="15">
        <f t="shared" si="1"/>
        <v>0</v>
      </c>
      <c r="L5" s="15">
        <f t="shared" si="1"/>
        <v>620000</v>
      </c>
      <c r="M5" s="15">
        <f t="shared" si="1"/>
        <v>0</v>
      </c>
      <c r="Q5" s="3" t="s">
        <v>21</v>
      </c>
      <c r="R5" s="16">
        <v>10</v>
      </c>
      <c r="S5" s="16">
        <v>10</v>
      </c>
      <c r="T5" s="16">
        <v>10</v>
      </c>
      <c r="U5" s="16">
        <v>12</v>
      </c>
      <c r="V5" s="16">
        <v>15</v>
      </c>
      <c r="W5" s="16">
        <v>15</v>
      </c>
      <c r="X5" s="16">
        <v>20</v>
      </c>
    </row>
    <row r="6" spans="1:24" x14ac:dyDescent="0.25">
      <c r="A6" s="8">
        <v>2.02</v>
      </c>
      <c r="B6" s="9" t="s">
        <v>22</v>
      </c>
      <c r="C6" s="10">
        <f>ROUND((((SUM(C13:C19))/1000000)*2500),-3)</f>
        <v>2000</v>
      </c>
      <c r="D6" s="14"/>
      <c r="E6" t="s">
        <v>23</v>
      </c>
      <c r="F6" s="3"/>
      <c r="G6" s="15"/>
      <c r="H6" s="15"/>
      <c r="I6" s="15"/>
      <c r="J6" s="15"/>
      <c r="K6" s="15"/>
      <c r="L6" s="15"/>
      <c r="M6" s="15"/>
      <c r="Q6" s="3" t="s">
        <v>24</v>
      </c>
      <c r="R6" s="18">
        <v>75</v>
      </c>
      <c r="S6" s="15"/>
      <c r="T6" s="15"/>
      <c r="U6" s="15"/>
      <c r="V6" s="15"/>
      <c r="W6" s="15"/>
      <c r="X6" s="15"/>
    </row>
    <row r="7" spans="1:24" x14ac:dyDescent="0.25">
      <c r="A7" s="19">
        <v>3.01</v>
      </c>
      <c r="B7" s="9" t="s">
        <v>25</v>
      </c>
      <c r="C7" s="10">
        <f>ROUND((SUM(C13:C19)*0.1),-3)</f>
        <v>98000</v>
      </c>
      <c r="D7" s="14"/>
      <c r="E7" t="s">
        <v>83</v>
      </c>
      <c r="F7" s="3"/>
      <c r="G7" s="15"/>
      <c r="H7" s="15"/>
      <c r="I7" s="15"/>
      <c r="J7" s="15"/>
      <c r="K7" s="15"/>
      <c r="L7" s="15"/>
      <c r="M7" s="15"/>
      <c r="Q7" s="3" t="s">
        <v>28</v>
      </c>
      <c r="R7" s="18">
        <v>200</v>
      </c>
      <c r="S7" s="3"/>
      <c r="T7" s="3"/>
      <c r="U7" s="3"/>
      <c r="V7" s="3"/>
      <c r="W7" s="3"/>
      <c r="X7" s="3"/>
    </row>
    <row r="8" spans="1:24" x14ac:dyDescent="0.25">
      <c r="A8" s="19">
        <v>3.02</v>
      </c>
      <c r="B8" s="9" t="s">
        <v>29</v>
      </c>
      <c r="C8" s="10">
        <f>ROUND((SUM(C13:C19)*0.05),-3)</f>
        <v>49000</v>
      </c>
      <c r="D8" s="14"/>
      <c r="E8" t="s">
        <v>68</v>
      </c>
      <c r="F8" s="3"/>
      <c r="G8" s="15"/>
      <c r="H8" s="15"/>
      <c r="I8" s="15"/>
      <c r="J8" s="15"/>
      <c r="K8" s="15"/>
      <c r="L8" s="15"/>
      <c r="M8" s="15"/>
      <c r="Q8" s="3" t="s">
        <v>32</v>
      </c>
      <c r="R8" s="16">
        <v>1500</v>
      </c>
      <c r="S8" s="3"/>
      <c r="T8" s="3"/>
      <c r="U8" s="3"/>
      <c r="V8" s="3"/>
      <c r="W8" s="3"/>
      <c r="X8" s="3"/>
    </row>
    <row r="9" spans="1:24" x14ac:dyDescent="0.25">
      <c r="A9" s="19">
        <v>3.03</v>
      </c>
      <c r="B9" s="9" t="s">
        <v>33</v>
      </c>
      <c r="C9" s="17">
        <f>ROUND(((3*(SUM(G3:M3))/400)*$R$15),-3)</f>
        <v>33000</v>
      </c>
      <c r="D9" s="14"/>
      <c r="E9" t="s">
        <v>34</v>
      </c>
      <c r="F9" s="3"/>
      <c r="G9" s="15"/>
      <c r="H9" s="15"/>
      <c r="I9" s="15"/>
      <c r="J9" s="15"/>
      <c r="K9" s="15"/>
      <c r="L9" s="15"/>
      <c r="M9" s="15"/>
      <c r="Q9" s="3" t="s">
        <v>35</v>
      </c>
      <c r="R9" s="16">
        <v>4000</v>
      </c>
      <c r="S9" s="3"/>
      <c r="T9" s="3"/>
      <c r="U9" s="3"/>
      <c r="V9" s="3"/>
      <c r="W9" s="3"/>
      <c r="X9" s="3"/>
    </row>
    <row r="10" spans="1:24" x14ac:dyDescent="0.25">
      <c r="A10" s="19">
        <v>3.04</v>
      </c>
      <c r="B10" s="9" t="s">
        <v>36</v>
      </c>
      <c r="C10" s="10">
        <v>0</v>
      </c>
      <c r="D10" s="14"/>
      <c r="E10" t="s">
        <v>84</v>
      </c>
      <c r="F10" s="3"/>
      <c r="G10" s="15"/>
      <c r="H10" s="15"/>
      <c r="I10" s="15"/>
      <c r="J10" s="15"/>
      <c r="K10" s="15"/>
      <c r="L10" s="15"/>
      <c r="M10" s="15"/>
      <c r="Q10" s="3" t="s">
        <v>38</v>
      </c>
      <c r="R10" s="16">
        <v>1500</v>
      </c>
      <c r="S10" s="3"/>
      <c r="T10" s="3"/>
      <c r="U10" s="3"/>
      <c r="V10" s="3"/>
      <c r="W10" s="3"/>
      <c r="X10" s="3"/>
    </row>
    <row r="11" spans="1:24" x14ac:dyDescent="0.25">
      <c r="A11" s="19">
        <v>4.01</v>
      </c>
      <c r="B11" s="9" t="s">
        <v>39</v>
      </c>
      <c r="C11" s="17">
        <v>0</v>
      </c>
      <c r="D11" s="14"/>
      <c r="E11" t="s">
        <v>40</v>
      </c>
      <c r="F11" s="3"/>
      <c r="G11" s="15"/>
      <c r="H11" s="15"/>
      <c r="I11" s="15"/>
      <c r="J11" s="15"/>
      <c r="K11" s="15"/>
      <c r="L11" s="15"/>
      <c r="M11" s="15"/>
      <c r="Q11" s="3" t="s">
        <v>41</v>
      </c>
      <c r="R11" s="16">
        <v>3000</v>
      </c>
      <c r="S11" s="3"/>
      <c r="T11" s="3"/>
      <c r="U11" s="3"/>
      <c r="V11" s="3"/>
      <c r="W11" s="3"/>
      <c r="X11" s="3"/>
    </row>
    <row r="12" spans="1:24" x14ac:dyDescent="0.25">
      <c r="A12" s="19">
        <v>4.0199999999999996</v>
      </c>
      <c r="B12" s="9" t="s">
        <v>42</v>
      </c>
      <c r="C12" s="17">
        <v>0</v>
      </c>
      <c r="D12" s="14"/>
      <c r="E12" t="s">
        <v>43</v>
      </c>
      <c r="F12" s="3"/>
      <c r="G12" s="15"/>
      <c r="H12" s="15"/>
      <c r="I12" s="15"/>
      <c r="J12" s="15"/>
      <c r="K12" s="15"/>
      <c r="L12" s="15"/>
      <c r="M12" s="15"/>
      <c r="Q12" s="3" t="s">
        <v>44</v>
      </c>
      <c r="R12" s="16">
        <v>3500</v>
      </c>
      <c r="S12" s="3"/>
      <c r="T12" s="3"/>
      <c r="U12" s="3"/>
      <c r="V12" s="3"/>
      <c r="W12" s="3"/>
      <c r="X12" s="3"/>
    </row>
    <row r="13" spans="1:24" x14ac:dyDescent="0.25">
      <c r="A13" s="19">
        <v>5.01</v>
      </c>
      <c r="B13" s="20" t="s">
        <v>45</v>
      </c>
      <c r="C13" s="21">
        <f>ROUND(((SUM(C14:C19))*0.05),-3)</f>
        <v>47000</v>
      </c>
      <c r="D13" s="22"/>
      <c r="F13" s="3"/>
      <c r="G13" s="15"/>
      <c r="H13" s="15"/>
      <c r="I13" s="15"/>
      <c r="J13" s="15"/>
      <c r="K13" s="15"/>
      <c r="L13" s="15"/>
      <c r="M13" s="15"/>
      <c r="Q13" s="3" t="s">
        <v>46</v>
      </c>
      <c r="R13" s="16">
        <v>10000</v>
      </c>
      <c r="S13" s="3"/>
      <c r="T13" s="3"/>
      <c r="U13" s="3"/>
      <c r="V13" s="3"/>
      <c r="W13" s="3"/>
      <c r="X13" s="3"/>
    </row>
    <row r="14" spans="1:24" x14ac:dyDescent="0.25">
      <c r="A14" s="19">
        <v>5.0199999999999996</v>
      </c>
      <c r="B14" s="20" t="s">
        <v>72</v>
      </c>
      <c r="C14" s="23">
        <f>ROUND((3*((SUM(G3:M3))/400)*$R$11),-3)</f>
        <v>56000</v>
      </c>
      <c r="D14" s="22"/>
      <c r="F14" s="3"/>
      <c r="G14" s="3"/>
      <c r="H14" s="3"/>
      <c r="I14" s="3"/>
      <c r="J14" s="3"/>
      <c r="K14" s="3"/>
      <c r="L14" s="3"/>
      <c r="M14" s="3"/>
      <c r="Q14" s="3" t="s">
        <v>75</v>
      </c>
      <c r="R14" s="16">
        <v>15000</v>
      </c>
      <c r="S14" s="3"/>
      <c r="T14" s="3"/>
      <c r="U14" s="3"/>
      <c r="V14" s="3"/>
      <c r="W14" s="3"/>
      <c r="X14" s="3"/>
    </row>
    <row r="15" spans="1:24" x14ac:dyDescent="0.25">
      <c r="A15" s="19">
        <v>5.03</v>
      </c>
      <c r="B15" s="20" t="s">
        <v>49</v>
      </c>
      <c r="C15" s="21">
        <f>ROUND(($R$14*(((SUM(G3:M3)))/1000)),-3)</f>
        <v>37000</v>
      </c>
      <c r="D15" s="22"/>
      <c r="F15" s="3"/>
      <c r="G15" s="3"/>
      <c r="H15" s="3"/>
      <c r="I15" s="3"/>
      <c r="J15" s="3"/>
      <c r="K15" s="3"/>
      <c r="L15" s="3"/>
      <c r="M15" s="3"/>
      <c r="Q15" s="3" t="s">
        <v>48</v>
      </c>
      <c r="R15" s="16">
        <f>(160*8)+(160*1.5*2)</f>
        <v>1760</v>
      </c>
    </row>
    <row r="16" spans="1:24" x14ac:dyDescent="0.25">
      <c r="A16" s="19">
        <v>5.04</v>
      </c>
      <c r="B16" s="20" t="s">
        <v>50</v>
      </c>
      <c r="C16" s="23">
        <f>ROUND(((SUM(G4:M4))),-3)</f>
        <v>37000</v>
      </c>
      <c r="D16" s="22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19">
        <v>5.05</v>
      </c>
      <c r="B17" s="20" t="s">
        <v>51</v>
      </c>
      <c r="C17" s="21">
        <f>ROUND((SUM(G5:M5)),-3)</f>
        <v>620000</v>
      </c>
      <c r="D17" s="22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19">
        <v>5.0599999999999996</v>
      </c>
      <c r="B18" s="24" t="s">
        <v>85</v>
      </c>
      <c r="C18" s="25">
        <f>ROUND((((SUM(G3:M3))/R6)*R8),-3)</f>
        <v>50000</v>
      </c>
      <c r="D18" s="26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19">
        <v>5.07</v>
      </c>
      <c r="B19" s="24" t="s">
        <v>35</v>
      </c>
      <c r="C19" s="25">
        <f>ROUND((((SUM(G3:M3))/R6)*R9),-3)</f>
        <v>132000</v>
      </c>
      <c r="D19" s="26"/>
      <c r="F19" s="3"/>
      <c r="G19" s="3"/>
      <c r="H19" s="3"/>
      <c r="I19" s="3"/>
      <c r="J19" s="3"/>
      <c r="K19" s="3"/>
      <c r="L19" s="3"/>
      <c r="M19" s="3"/>
    </row>
    <row r="20" spans="1:13" ht="15.75" thickBot="1" x14ac:dyDescent="0.3">
      <c r="A20" s="27">
        <v>6.01</v>
      </c>
      <c r="B20" s="28" t="s">
        <v>55</v>
      </c>
      <c r="C20" s="29">
        <f>ROUND((C3*0.075),-3)</f>
        <v>5000</v>
      </c>
      <c r="D20" s="30"/>
      <c r="F20" s="3"/>
      <c r="G20" s="3"/>
      <c r="H20" s="3"/>
      <c r="I20" s="3"/>
      <c r="J20" s="3"/>
      <c r="K20" s="3"/>
      <c r="L20" s="3"/>
      <c r="M20" s="3"/>
    </row>
    <row r="21" spans="1:13" ht="15.75" thickTop="1" x14ac:dyDescent="0.25">
      <c r="A21" s="31"/>
      <c r="B21" s="32" t="s">
        <v>56</v>
      </c>
      <c r="C21" s="33">
        <f>ROUNDUP((SUM(C3:C20)),-4)</f>
        <v>1240000</v>
      </c>
      <c r="D21" s="33">
        <f>SUM(D3:D20)</f>
        <v>0</v>
      </c>
      <c r="F21" s="3"/>
      <c r="G21" s="3"/>
      <c r="H21" s="3"/>
      <c r="I21" s="3"/>
      <c r="J21" s="3"/>
      <c r="K21" s="3"/>
      <c r="L21" s="3"/>
      <c r="M21" s="3"/>
    </row>
    <row r="22" spans="1:13" x14ac:dyDescent="0.25">
      <c r="B22" s="40" t="s">
        <v>86</v>
      </c>
      <c r="C22" s="34">
        <f>C21-(C3*0.95)-(C7*0.95)-(C8*0.95)</f>
        <v>1031000</v>
      </c>
      <c r="F22" s="3"/>
      <c r="G22" s="3"/>
      <c r="H22" s="3"/>
      <c r="I22" s="3"/>
      <c r="J22" s="3"/>
      <c r="K22" s="3"/>
      <c r="L22" s="3"/>
      <c r="M22" s="3"/>
    </row>
    <row r="29" spans="1:13" x14ac:dyDescent="0.25">
      <c r="B29" t="s">
        <v>57</v>
      </c>
      <c r="C29" s="34">
        <f>SUM(C3:C6)</f>
        <v>75000</v>
      </c>
    </row>
    <row r="30" spans="1:13" x14ac:dyDescent="0.25">
      <c r="B30" t="s">
        <v>58</v>
      </c>
      <c r="C30" s="34">
        <f>SUM(C7:C9)</f>
        <v>180000</v>
      </c>
    </row>
    <row r="31" spans="1:13" x14ac:dyDescent="0.25">
      <c r="B31" t="s">
        <v>59</v>
      </c>
      <c r="C31" s="34">
        <f>SUM(C10:C20)</f>
        <v>984000</v>
      </c>
    </row>
    <row r="32" spans="1:13" x14ac:dyDescent="0.25">
      <c r="B32" t="s">
        <v>60</v>
      </c>
      <c r="C32" s="34">
        <f>SUM(C29:C31)</f>
        <v>1239000</v>
      </c>
    </row>
  </sheetData>
  <mergeCells count="2">
    <mergeCell ref="C2:D2"/>
    <mergeCell ref="Q2:R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511D-1795-4A6B-9BC4-67820AF31DAB}">
  <dimension ref="A1:X32"/>
  <sheetViews>
    <sheetView topLeftCell="A4" zoomScale="80" zoomScaleNormal="80" workbookViewId="0">
      <selection activeCell="C28" sqref="C28"/>
    </sheetView>
  </sheetViews>
  <sheetFormatPr defaultRowHeight="15" x14ac:dyDescent="0.25"/>
  <cols>
    <col min="1" max="1" width="5.5703125" bestFit="1" customWidth="1"/>
    <col min="2" max="2" width="64.85546875" bestFit="1" customWidth="1"/>
    <col min="3" max="3" width="10.7109375" bestFit="1" customWidth="1"/>
    <col min="4" max="4" width="6.5703125" bestFit="1" customWidth="1"/>
    <col min="5" max="5" width="49.85546875" bestFit="1" customWidth="1"/>
    <col min="6" max="6" width="7.42578125" bestFit="1" customWidth="1"/>
    <col min="7" max="7" width="6.7109375" bestFit="1" customWidth="1"/>
    <col min="8" max="8" width="8.42578125" bestFit="1" customWidth="1"/>
    <col min="9" max="9" width="6.7109375" bestFit="1" customWidth="1"/>
    <col min="10" max="10" width="12.7109375" bestFit="1" customWidth="1"/>
    <col min="11" max="13" width="6.7109375" bestFit="1" customWidth="1"/>
    <col min="17" max="17" width="34.140625" bestFit="1" customWidth="1"/>
    <col min="18" max="18" width="8.85546875" bestFit="1" customWidth="1"/>
    <col min="19" max="19" width="5.140625" bestFit="1" customWidth="1"/>
    <col min="20" max="24" width="6.28515625" bestFit="1" customWidth="1"/>
  </cols>
  <sheetData>
    <row r="1" spans="1:24" x14ac:dyDescent="0.25">
      <c r="A1" s="31"/>
      <c r="B1" t="s">
        <v>87</v>
      </c>
    </row>
    <row r="2" spans="1:24" x14ac:dyDescent="0.25">
      <c r="A2" s="4" t="s">
        <v>2</v>
      </c>
      <c r="B2" s="5" t="s">
        <v>89</v>
      </c>
      <c r="C2" s="43" t="s">
        <v>3</v>
      </c>
      <c r="D2" s="44"/>
      <c r="F2" s="3"/>
      <c r="G2" s="3" t="s">
        <v>4</v>
      </c>
      <c r="H2" s="6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Q2" s="45" t="s">
        <v>11</v>
      </c>
      <c r="R2" s="45"/>
      <c r="S2" s="3"/>
      <c r="T2" s="3"/>
      <c r="U2" s="3"/>
      <c r="V2" s="3"/>
      <c r="W2" s="3"/>
      <c r="X2" s="3"/>
    </row>
    <row r="3" spans="1:24" x14ac:dyDescent="0.25">
      <c r="A3" s="8">
        <v>1.01</v>
      </c>
      <c r="B3" s="9" t="s">
        <v>12</v>
      </c>
      <c r="C3" s="10">
        <f>ROUND((SUM(C13:C19)*0.05),-3)</f>
        <v>16000</v>
      </c>
      <c r="D3" s="11"/>
      <c r="E3" t="s">
        <v>13</v>
      </c>
      <c r="F3" s="3" t="s">
        <v>14</v>
      </c>
      <c r="G3" s="12">
        <v>0</v>
      </c>
      <c r="H3" s="12">
        <v>0</v>
      </c>
      <c r="I3" s="12">
        <v>0</v>
      </c>
      <c r="J3" s="12">
        <f>385+365+105+162+68</f>
        <v>1085</v>
      </c>
      <c r="K3" s="12">
        <v>0</v>
      </c>
      <c r="L3" s="12">
        <v>0</v>
      </c>
      <c r="M3" s="12">
        <v>0</v>
      </c>
      <c r="Q3" s="3"/>
      <c r="R3" s="3" t="s">
        <v>4</v>
      </c>
      <c r="S3" s="6" t="s">
        <v>5</v>
      </c>
      <c r="T3" s="3" t="s">
        <v>6</v>
      </c>
      <c r="U3" s="3" t="s">
        <v>7</v>
      </c>
      <c r="V3" s="3" t="s">
        <v>8</v>
      </c>
      <c r="W3" s="3" t="s">
        <v>9</v>
      </c>
      <c r="X3" s="3" t="s">
        <v>10</v>
      </c>
    </row>
    <row r="4" spans="1:24" x14ac:dyDescent="0.25">
      <c r="A4" s="8">
        <v>1.02</v>
      </c>
      <c r="B4" s="9" t="s">
        <v>15</v>
      </c>
      <c r="C4" s="10">
        <v>0</v>
      </c>
      <c r="D4" s="14"/>
      <c r="F4" s="3" t="s">
        <v>16</v>
      </c>
      <c r="G4" s="15">
        <f>G3*R5</f>
        <v>0</v>
      </c>
      <c r="H4" s="15">
        <f t="shared" ref="H4:M4" si="0">H3*S5</f>
        <v>0</v>
      </c>
      <c r="I4" s="15">
        <f t="shared" si="0"/>
        <v>0</v>
      </c>
      <c r="J4" s="15">
        <f t="shared" si="0"/>
        <v>13020</v>
      </c>
      <c r="K4" s="15">
        <f t="shared" si="0"/>
        <v>0</v>
      </c>
      <c r="L4" s="15">
        <f t="shared" si="0"/>
        <v>0</v>
      </c>
      <c r="M4" s="15">
        <f t="shared" si="0"/>
        <v>0</v>
      </c>
      <c r="Q4" s="3" t="s">
        <v>17</v>
      </c>
      <c r="R4" s="16">
        <v>50</v>
      </c>
      <c r="S4" s="16">
        <v>60</v>
      </c>
      <c r="T4" s="16">
        <v>100</v>
      </c>
      <c r="U4" s="16">
        <v>200</v>
      </c>
      <c r="V4" s="16">
        <v>225</v>
      </c>
      <c r="W4" s="16">
        <v>250</v>
      </c>
      <c r="X4" s="16">
        <v>300</v>
      </c>
    </row>
    <row r="5" spans="1:24" x14ac:dyDescent="0.25">
      <c r="A5" s="8">
        <v>2.0099999999999998</v>
      </c>
      <c r="B5" s="9" t="s">
        <v>18</v>
      </c>
      <c r="C5" s="17">
        <v>0</v>
      </c>
      <c r="D5" s="14"/>
      <c r="E5" t="s">
        <v>19</v>
      </c>
      <c r="F5" s="3" t="s">
        <v>20</v>
      </c>
      <c r="G5" s="15">
        <f>G3*R4</f>
        <v>0</v>
      </c>
      <c r="H5" s="15">
        <f t="shared" ref="H5:M5" si="1">H3*S4</f>
        <v>0</v>
      </c>
      <c r="I5" s="15">
        <f t="shared" si="1"/>
        <v>0</v>
      </c>
      <c r="J5" s="15">
        <f t="shared" si="1"/>
        <v>217000</v>
      </c>
      <c r="K5" s="15">
        <f t="shared" si="1"/>
        <v>0</v>
      </c>
      <c r="L5" s="15">
        <f t="shared" si="1"/>
        <v>0</v>
      </c>
      <c r="M5" s="15">
        <f t="shared" si="1"/>
        <v>0</v>
      </c>
      <c r="Q5" s="3" t="s">
        <v>21</v>
      </c>
      <c r="R5" s="16">
        <v>10</v>
      </c>
      <c r="S5" s="16">
        <v>10</v>
      </c>
      <c r="T5" s="16">
        <v>10</v>
      </c>
      <c r="U5" s="16">
        <v>12</v>
      </c>
      <c r="V5" s="16">
        <v>15</v>
      </c>
      <c r="W5" s="16">
        <v>15</v>
      </c>
      <c r="X5" s="16">
        <v>20</v>
      </c>
    </row>
    <row r="6" spans="1:24" x14ac:dyDescent="0.25">
      <c r="A6" s="8">
        <v>2.02</v>
      </c>
      <c r="B6" s="9" t="s">
        <v>22</v>
      </c>
      <c r="C6" s="10">
        <f>ROUND((((SUM(C13:C19))/1000000)*2500),-3)</f>
        <v>1000</v>
      </c>
      <c r="D6" s="14"/>
      <c r="E6" t="s">
        <v>23</v>
      </c>
      <c r="Q6" s="3" t="s">
        <v>24</v>
      </c>
      <c r="R6" s="18">
        <v>75</v>
      </c>
      <c r="S6" s="15"/>
      <c r="T6" s="15"/>
      <c r="U6" s="15"/>
      <c r="V6" s="15"/>
      <c r="W6" s="15"/>
      <c r="X6" s="15"/>
    </row>
    <row r="7" spans="1:24" x14ac:dyDescent="0.25">
      <c r="A7" s="19">
        <v>3.01</v>
      </c>
      <c r="B7" s="9" t="s">
        <v>25</v>
      </c>
      <c r="C7" s="10">
        <f>ROUND((SUM(C13:C19)*0.1),-3)</f>
        <v>32000</v>
      </c>
      <c r="D7" s="14"/>
      <c r="E7" t="s">
        <v>83</v>
      </c>
      <c r="Q7" s="3" t="s">
        <v>28</v>
      </c>
      <c r="R7" s="18">
        <v>200</v>
      </c>
      <c r="S7" s="3"/>
      <c r="T7" s="3"/>
      <c r="U7" s="3"/>
      <c r="V7" s="3"/>
      <c r="W7" s="3"/>
      <c r="X7" s="3"/>
    </row>
    <row r="8" spans="1:24" x14ac:dyDescent="0.25">
      <c r="A8" s="19">
        <v>3.02</v>
      </c>
      <c r="B8" s="9" t="s">
        <v>29</v>
      </c>
      <c r="C8" s="10">
        <f>ROUND((SUM(C13:C19)*0.05),-3)</f>
        <v>16000</v>
      </c>
      <c r="D8" s="14"/>
      <c r="E8" t="s">
        <v>68</v>
      </c>
      <c r="Q8" s="3" t="s">
        <v>32</v>
      </c>
      <c r="R8" s="16">
        <v>1500</v>
      </c>
      <c r="S8" s="3"/>
      <c r="T8" s="3"/>
      <c r="U8" s="3"/>
      <c r="V8" s="3"/>
      <c r="W8" s="3"/>
      <c r="X8" s="3"/>
    </row>
    <row r="9" spans="1:24" x14ac:dyDescent="0.25">
      <c r="A9" s="19">
        <v>3.03</v>
      </c>
      <c r="B9" s="9" t="s">
        <v>33</v>
      </c>
      <c r="C9" s="17">
        <f>ROUND(((3*(SUM(G3:M3))/400)*$R$15),-3)</f>
        <v>14000</v>
      </c>
      <c r="D9" s="14"/>
      <c r="E9" t="s">
        <v>34</v>
      </c>
      <c r="Q9" s="3" t="s">
        <v>35</v>
      </c>
      <c r="R9" s="16">
        <v>4000</v>
      </c>
      <c r="S9" s="3"/>
      <c r="T9" s="3"/>
      <c r="U9" s="3"/>
      <c r="V9" s="3"/>
      <c r="W9" s="3"/>
      <c r="X9" s="3"/>
    </row>
    <row r="10" spans="1:24" x14ac:dyDescent="0.25">
      <c r="A10" s="19">
        <v>3.04</v>
      </c>
      <c r="B10" s="9" t="s">
        <v>36</v>
      </c>
      <c r="C10" s="10">
        <v>0</v>
      </c>
      <c r="D10" s="14"/>
      <c r="E10" t="s">
        <v>84</v>
      </c>
      <c r="Q10" s="3" t="s">
        <v>38</v>
      </c>
      <c r="R10" s="16">
        <v>1500</v>
      </c>
      <c r="S10" s="3"/>
      <c r="T10" s="3"/>
      <c r="U10" s="3"/>
      <c r="V10" s="3"/>
      <c r="W10" s="3"/>
      <c r="X10" s="3"/>
    </row>
    <row r="11" spans="1:24" x14ac:dyDescent="0.25">
      <c r="A11" s="19">
        <v>4.01</v>
      </c>
      <c r="B11" s="9" t="s">
        <v>39</v>
      </c>
      <c r="C11" s="17">
        <v>0</v>
      </c>
      <c r="D11" s="14"/>
      <c r="E11" t="s">
        <v>40</v>
      </c>
      <c r="Q11" s="3" t="s">
        <v>41</v>
      </c>
      <c r="R11" s="16">
        <v>3000</v>
      </c>
      <c r="S11" s="3"/>
      <c r="T11" s="3"/>
      <c r="U11" s="3"/>
      <c r="V11" s="3"/>
      <c r="W11" s="3"/>
      <c r="X11" s="3"/>
    </row>
    <row r="12" spans="1:24" x14ac:dyDescent="0.25">
      <c r="A12" s="19">
        <v>4.0199999999999996</v>
      </c>
      <c r="B12" s="9" t="s">
        <v>42</v>
      </c>
      <c r="C12" s="17">
        <v>0</v>
      </c>
      <c r="D12" s="14"/>
      <c r="E12" t="s">
        <v>43</v>
      </c>
      <c r="Q12" s="3" t="s">
        <v>44</v>
      </c>
      <c r="R12" s="16">
        <v>3500</v>
      </c>
      <c r="S12" s="3"/>
      <c r="T12" s="3"/>
      <c r="U12" s="3"/>
      <c r="V12" s="3"/>
      <c r="W12" s="3"/>
      <c r="X12" s="3"/>
    </row>
    <row r="13" spans="1:24" x14ac:dyDescent="0.25">
      <c r="A13" s="19">
        <v>5.01</v>
      </c>
      <c r="B13" s="20" t="s">
        <v>45</v>
      </c>
      <c r="C13" s="21">
        <f>ROUND(((SUM(C14:C19))*0.05),-3)</f>
        <v>15000</v>
      </c>
      <c r="D13" s="22"/>
      <c r="Q13" s="3" t="s">
        <v>46</v>
      </c>
      <c r="R13" s="16">
        <v>10000</v>
      </c>
      <c r="S13" s="3"/>
      <c r="T13" s="3"/>
      <c r="U13" s="3"/>
      <c r="V13" s="3"/>
      <c r="W13" s="3"/>
      <c r="X13" s="3"/>
    </row>
    <row r="14" spans="1:24" x14ac:dyDescent="0.25">
      <c r="A14" s="19">
        <v>5.0199999999999996</v>
      </c>
      <c r="B14" s="20" t="s">
        <v>72</v>
      </c>
      <c r="C14" s="23">
        <f>ROUND((3*((SUM(G3:M3))/400)*$R$12),-3)</f>
        <v>28000</v>
      </c>
      <c r="D14" s="22"/>
      <c r="Q14" s="3" t="s">
        <v>90</v>
      </c>
      <c r="R14" s="16">
        <v>15000</v>
      </c>
      <c r="S14" s="3"/>
      <c r="T14" s="3"/>
      <c r="U14" s="3"/>
      <c r="V14" s="3"/>
      <c r="W14" s="3"/>
      <c r="X14" s="3"/>
    </row>
    <row r="15" spans="1:24" x14ac:dyDescent="0.25">
      <c r="A15" s="19">
        <v>5.03</v>
      </c>
      <c r="B15" s="20" t="s">
        <v>49</v>
      </c>
      <c r="C15" s="21">
        <f>ROUND(($R$14*(((SUM(G3:M3)))/1000)),-3)</f>
        <v>16000</v>
      </c>
      <c r="D15" s="22"/>
      <c r="E15" t="s">
        <v>91</v>
      </c>
      <c r="Q15" s="3" t="s">
        <v>48</v>
      </c>
      <c r="R15" s="16">
        <f>(160*8)+(160*1.5*2)</f>
        <v>1760</v>
      </c>
    </row>
    <row r="16" spans="1:24" x14ac:dyDescent="0.25">
      <c r="A16" s="19">
        <v>5.04</v>
      </c>
      <c r="B16" s="20" t="s">
        <v>50</v>
      </c>
      <c r="C16" s="23">
        <f>ROUND(((SUM(G4:M4))),-3)</f>
        <v>13000</v>
      </c>
      <c r="D16" s="22"/>
    </row>
    <row r="17" spans="1:4" x14ac:dyDescent="0.25">
      <c r="A17" s="19">
        <v>5.05</v>
      </c>
      <c r="B17" s="20" t="s">
        <v>51</v>
      </c>
      <c r="C17" s="21">
        <f>ROUND((SUM(G5:M5)),-3)</f>
        <v>217000</v>
      </c>
      <c r="D17" s="22"/>
    </row>
    <row r="18" spans="1:4" x14ac:dyDescent="0.25">
      <c r="A18" s="19">
        <v>5.0599999999999996</v>
      </c>
      <c r="B18" s="24" t="s">
        <v>85</v>
      </c>
      <c r="C18" s="25">
        <f>ROUND((((SUM(G3:M3))/R7)*R8),-3)</f>
        <v>8000</v>
      </c>
      <c r="D18" s="26"/>
    </row>
    <row r="19" spans="1:4" x14ac:dyDescent="0.25">
      <c r="A19" s="19">
        <v>5.07</v>
      </c>
      <c r="B19" s="24" t="s">
        <v>35</v>
      </c>
      <c r="C19" s="25">
        <f>ROUND((((SUM(G3:M3))/R7)*R9),-3)</f>
        <v>22000</v>
      </c>
      <c r="D19" s="26"/>
    </row>
    <row r="20" spans="1:4" ht="15.75" thickBot="1" x14ac:dyDescent="0.3">
      <c r="A20" s="27">
        <v>6.01</v>
      </c>
      <c r="B20" s="28" t="s">
        <v>55</v>
      </c>
      <c r="C20" s="29">
        <f>ROUND((C3*0.075),-3)</f>
        <v>1000</v>
      </c>
      <c r="D20" s="30"/>
    </row>
    <row r="21" spans="1:4" ht="15.75" thickTop="1" x14ac:dyDescent="0.25">
      <c r="A21" s="31"/>
      <c r="B21" s="32" t="s">
        <v>56</v>
      </c>
      <c r="C21" s="33">
        <f>ROUNDUP((SUM(C3:C20)),-4)</f>
        <v>400000</v>
      </c>
      <c r="D21" s="33">
        <f>SUM(D3:D20)</f>
        <v>0</v>
      </c>
    </row>
    <row r="29" spans="1:4" x14ac:dyDescent="0.25">
      <c r="B29" t="s">
        <v>57</v>
      </c>
      <c r="C29" s="34">
        <f>SUM(C3:C6)</f>
        <v>17000</v>
      </c>
    </row>
    <row r="30" spans="1:4" x14ac:dyDescent="0.25">
      <c r="B30" t="s">
        <v>58</v>
      </c>
      <c r="C30" s="34">
        <f>SUM(C7:C9)</f>
        <v>62000</v>
      </c>
    </row>
    <row r="31" spans="1:4" x14ac:dyDescent="0.25">
      <c r="B31" t="s">
        <v>59</v>
      </c>
      <c r="C31" s="34">
        <f>SUM(C10:C20)</f>
        <v>320000</v>
      </c>
    </row>
    <row r="32" spans="1:4" x14ac:dyDescent="0.25">
      <c r="B32" t="s">
        <v>60</v>
      </c>
      <c r="C32" s="34">
        <f>SUM(C29:C31)</f>
        <v>399000</v>
      </c>
    </row>
  </sheetData>
  <mergeCells count="2">
    <mergeCell ref="C2:D2"/>
    <mergeCell ref="Q2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D9F8-5E4C-4A87-A666-7C307A2097A1}">
  <dimension ref="A1:I8"/>
  <sheetViews>
    <sheetView workbookViewId="0">
      <selection activeCell="I8" sqref="I8"/>
    </sheetView>
  </sheetViews>
  <sheetFormatPr defaultRowHeight="15" x14ac:dyDescent="0.25"/>
  <cols>
    <col min="1" max="1" width="17.7109375" bestFit="1" customWidth="1"/>
    <col min="2" max="2" width="93.28515625" bestFit="1" customWidth="1"/>
    <col min="3" max="3" width="14.140625" bestFit="1" customWidth="1"/>
    <col min="4" max="4" width="10.85546875" bestFit="1" customWidth="1"/>
    <col min="9" max="9" width="12.5703125" bestFit="1" customWidth="1"/>
  </cols>
  <sheetData>
    <row r="1" spans="1:9" x14ac:dyDescent="0.25">
      <c r="B1" t="s">
        <v>92</v>
      </c>
      <c r="C1" t="s">
        <v>93</v>
      </c>
      <c r="D1" t="s">
        <v>100</v>
      </c>
    </row>
    <row r="2" spans="1:9" x14ac:dyDescent="0.25">
      <c r="A2">
        <v>1</v>
      </c>
      <c r="B2" t="s">
        <v>94</v>
      </c>
      <c r="C2" s="41">
        <v>150000</v>
      </c>
      <c r="D2" s="41">
        <f>C2</f>
        <v>150000</v>
      </c>
    </row>
    <row r="3" spans="1:9" x14ac:dyDescent="0.25">
      <c r="A3">
        <v>2</v>
      </c>
      <c r="B3" t="s">
        <v>95</v>
      </c>
      <c r="C3" s="41">
        <v>560000</v>
      </c>
      <c r="D3" s="41">
        <f>C3+D2</f>
        <v>710000</v>
      </c>
    </row>
    <row r="4" spans="1:9" x14ac:dyDescent="0.25">
      <c r="A4">
        <v>3</v>
      </c>
      <c r="B4" t="s">
        <v>96</v>
      </c>
      <c r="C4" s="41">
        <v>580000</v>
      </c>
      <c r="D4" s="41">
        <f t="shared" ref="D4:D6" si="0">C4+D3</f>
        <v>1290000</v>
      </c>
    </row>
    <row r="5" spans="1:9" x14ac:dyDescent="0.25">
      <c r="A5">
        <v>4</v>
      </c>
      <c r="B5" t="s">
        <v>98</v>
      </c>
      <c r="C5" s="41">
        <v>710000</v>
      </c>
      <c r="D5" s="41">
        <f t="shared" si="0"/>
        <v>2000000</v>
      </c>
      <c r="I5" s="42">
        <v>177000</v>
      </c>
    </row>
    <row r="6" spans="1:9" x14ac:dyDescent="0.25">
      <c r="A6">
        <v>5</v>
      </c>
      <c r="B6" t="s">
        <v>97</v>
      </c>
      <c r="C6" s="41">
        <v>190000</v>
      </c>
      <c r="D6" s="41">
        <f t="shared" si="0"/>
        <v>2190000</v>
      </c>
      <c r="I6" s="42">
        <v>215000</v>
      </c>
    </row>
    <row r="7" spans="1:9" x14ac:dyDescent="0.25">
      <c r="I7" s="34">
        <f>SUM(I5:I6)</f>
        <v>392000</v>
      </c>
    </row>
    <row r="8" spans="1:9" x14ac:dyDescent="0.25">
      <c r="A8" t="s">
        <v>99</v>
      </c>
      <c r="C8" s="41">
        <f>SUM(C2:C6)</f>
        <v>2190000</v>
      </c>
      <c r="D8" s="4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0D5E-7A3D-4ECC-B152-0C41C0007147}">
  <dimension ref="A1:B8"/>
  <sheetViews>
    <sheetView workbookViewId="0">
      <selection activeCell="A9" sqref="A9"/>
    </sheetView>
  </sheetViews>
  <sheetFormatPr defaultRowHeight="15" x14ac:dyDescent="0.25"/>
  <cols>
    <col min="1" max="1" width="22.28515625" bestFit="1" customWidth="1"/>
    <col min="2" max="2" width="14.28515625" style="42" bestFit="1" customWidth="1"/>
  </cols>
  <sheetData>
    <row r="1" spans="1:2" x14ac:dyDescent="0.25">
      <c r="A1" t="s">
        <v>102</v>
      </c>
      <c r="B1" s="42">
        <v>759000</v>
      </c>
    </row>
    <row r="2" spans="1:2" x14ac:dyDescent="0.25">
      <c r="A2" t="s">
        <v>101</v>
      </c>
      <c r="B2" s="42">
        <v>117000</v>
      </c>
    </row>
    <row r="3" spans="1:2" x14ac:dyDescent="0.25">
      <c r="A3" t="s">
        <v>103</v>
      </c>
      <c r="B3" s="42">
        <v>27000</v>
      </c>
    </row>
    <row r="4" spans="1:2" x14ac:dyDescent="0.25">
      <c r="A4" t="s">
        <v>104</v>
      </c>
      <c r="B4" s="42">
        <v>500000</v>
      </c>
    </row>
    <row r="5" spans="1:2" x14ac:dyDescent="0.25">
      <c r="A5" t="s">
        <v>105</v>
      </c>
      <c r="B5" s="42">
        <v>287000</v>
      </c>
    </row>
    <row r="6" spans="1:2" x14ac:dyDescent="0.25">
      <c r="A6" t="s">
        <v>105</v>
      </c>
      <c r="B6" s="42">
        <v>118000</v>
      </c>
    </row>
    <row r="7" spans="1:2" x14ac:dyDescent="0.25">
      <c r="A7" t="s">
        <v>106</v>
      </c>
      <c r="B7" s="42">
        <v>30000</v>
      </c>
    </row>
    <row r="8" spans="1:2" x14ac:dyDescent="0.25">
      <c r="A8" t="s">
        <v>56</v>
      </c>
      <c r="B8" s="42">
        <f>SUM(B1:B7)</f>
        <v>1838000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Techite</vt:lpstr>
      <vt:lpstr>2026 Pipe Bursting-v1</vt:lpstr>
      <vt:lpstr>2026 PB-Rancho Only</vt:lpstr>
      <vt:lpstr>2026 PB-Alto Only</vt:lpstr>
      <vt:lpstr>2026 PB-Feliz Only</vt:lpstr>
      <vt:lpstr>OCR Rehab</vt:lpstr>
      <vt:lpstr>Ojai ACP Rehab</vt:lpstr>
      <vt:lpstr>2026-27 Summary</vt:lpstr>
      <vt:lpstr>2025-2026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Dubrin</dc:creator>
  <cp:lastModifiedBy>Liz Dubrin</cp:lastModifiedBy>
  <dcterms:created xsi:type="dcterms:W3CDTF">2026-04-02T23:49:45Z</dcterms:created>
  <dcterms:modified xsi:type="dcterms:W3CDTF">2026-05-06T00:16:30Z</dcterms:modified>
</cp:coreProperties>
</file>