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ovsd-archive\My Documents\General Manager\Scott\Budget\2026-2027 Budget\"/>
    </mc:Choice>
  </mc:AlternateContent>
  <xr:revisionPtr revIDLastSave="0" documentId="13_ncr:1_{08BE5A97-9EA9-406F-87CF-12B80259C5D4}" xr6:coauthVersionLast="47" xr6:coauthVersionMax="47" xr10:uidLastSave="{00000000-0000-0000-0000-000000000000}"/>
  <bookViews>
    <workbookView xWindow="57480" yWindow="-120" windowWidth="29040" windowHeight="16440" xr2:uid="{0AEDBE43-A17F-4E8B-97F2-F329B364B1B3}"/>
  </bookViews>
  <sheets>
    <sheet name="Matrix+Cover Sheet" sheetId="18" r:id="rId1"/>
    <sheet name="Techite" sheetId="1" r:id="rId2"/>
    <sheet name="2026 Pipe Bursting-v1" sheetId="2" r:id="rId3"/>
    <sheet name="2026 PB-Rancho Only" sheetId="5" r:id="rId4"/>
    <sheet name="2026 PB-Alto Only" sheetId="6" r:id="rId5"/>
    <sheet name="2026 PB-Feliz Only" sheetId="7" r:id="rId6"/>
    <sheet name="OCR Rehab" sheetId="3" r:id="rId7"/>
    <sheet name="Ojai ACP Rehab" sheetId="4" r:id="rId8"/>
    <sheet name="N.Vent Ave Improv." sheetId="8" r:id="rId9"/>
    <sheet name="Barbara St MHs" sheetId="9" r:id="rId10"/>
    <sheet name="Redwood Bursting" sheetId="11" r:id="rId11"/>
    <sheet name="Lomita" sheetId="10" r:id="rId12"/>
    <sheet name="Pirie" sheetId="13" r:id="rId13"/>
    <sheet name="Prospect" sheetId="14" r:id="rId14"/>
    <sheet name="Foster Park" sheetId="15" r:id="rId15"/>
    <sheet name="SAC Siphon" sheetId="16" r:id="rId16"/>
    <sheet name="Creek Siphons" sheetId="17" r:id="rId17"/>
    <sheet name="Cast and Ductile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9" l="1"/>
  <c r="K23" i="19"/>
  <c r="D63" i="18" s="1"/>
  <c r="C19" i="11"/>
  <c r="C15" i="11"/>
  <c r="C16" i="11"/>
  <c r="C18" i="11"/>
  <c r="C19" i="8"/>
  <c r="C14" i="8"/>
  <c r="C14" i="4"/>
  <c r="C19" i="4"/>
  <c r="C17" i="4"/>
  <c r="C9" i="4"/>
  <c r="C15" i="4"/>
  <c r="D50" i="18"/>
  <c r="F33" i="19"/>
  <c r="K20" i="19" s="1"/>
  <c r="F11" i="19"/>
  <c r="H14" i="19"/>
  <c r="H13" i="19"/>
  <c r="I51" i="19"/>
  <c r="I50" i="19"/>
  <c r="I49" i="19"/>
  <c r="C47" i="19"/>
  <c r="I45" i="19"/>
  <c r="H45" i="19"/>
  <c r="I44" i="19"/>
  <c r="H44" i="19"/>
  <c r="I43" i="19"/>
  <c r="H43" i="19"/>
  <c r="I42" i="19"/>
  <c r="H42" i="19"/>
  <c r="F39" i="19" s="1"/>
  <c r="I41" i="19"/>
  <c r="H41" i="19"/>
  <c r="H39" i="19"/>
  <c r="C39" i="19"/>
  <c r="I37" i="19"/>
  <c r="H37" i="19"/>
  <c r="I36" i="19"/>
  <c r="H33" i="19" s="1"/>
  <c r="H36" i="19"/>
  <c r="I35" i="19"/>
  <c r="H35" i="19"/>
  <c r="C33" i="19"/>
  <c r="I31" i="19"/>
  <c r="H31" i="19"/>
  <c r="I30" i="19"/>
  <c r="H30" i="19"/>
  <c r="I29" i="19"/>
  <c r="H29" i="19"/>
  <c r="I28" i="19"/>
  <c r="H28" i="19"/>
  <c r="I27" i="19"/>
  <c r="H27" i="19"/>
  <c r="I26" i="19"/>
  <c r="H26" i="19"/>
  <c r="I25" i="19"/>
  <c r="H25" i="19"/>
  <c r="I24" i="19"/>
  <c r="H24" i="19"/>
  <c r="I23" i="19"/>
  <c r="H23" i="19"/>
  <c r="I22" i="19"/>
  <c r="H22" i="19"/>
  <c r="I21" i="19"/>
  <c r="H21" i="19"/>
  <c r="I20" i="19"/>
  <c r="H20" i="19"/>
  <c r="I19" i="19"/>
  <c r="H11" i="19" s="1"/>
  <c r="H19" i="19"/>
  <c r="I18" i="19"/>
  <c r="H18" i="19"/>
  <c r="I17" i="19"/>
  <c r="H17" i="19"/>
  <c r="L16" i="19"/>
  <c r="I16" i="19"/>
  <c r="H16" i="19"/>
  <c r="I15" i="19"/>
  <c r="H15" i="19"/>
  <c r="I14" i="19"/>
  <c r="I13" i="19"/>
  <c r="C11" i="19"/>
  <c r="I9" i="19"/>
  <c r="H9" i="19"/>
  <c r="I8" i="19"/>
  <c r="H8" i="19"/>
  <c r="I7" i="19"/>
  <c r="H7" i="19"/>
  <c r="I6" i="19"/>
  <c r="H6" i="19"/>
  <c r="I5" i="19"/>
  <c r="H5" i="19"/>
  <c r="I4" i="19"/>
  <c r="H4" i="19"/>
  <c r="H2" i="19"/>
  <c r="F2" i="19"/>
  <c r="C2" i="19"/>
  <c r="L62" i="18" l="1"/>
  <c r="L61" i="18"/>
  <c r="L50" i="18"/>
  <c r="L52" i="18"/>
  <c r="L63" i="18"/>
  <c r="L42" i="18"/>
  <c r="L43" i="18"/>
  <c r="L44" i="18"/>
  <c r="L45" i="18"/>
  <c r="L46" i="18"/>
  <c r="L47" i="18"/>
  <c r="L48" i="18"/>
  <c r="L49" i="18"/>
  <c r="L53" i="18"/>
  <c r="L54" i="18"/>
  <c r="L55" i="18"/>
  <c r="L56" i="18"/>
  <c r="L57" i="18"/>
  <c r="L58" i="18"/>
  <c r="L59" i="18"/>
  <c r="L60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D60" i="18"/>
  <c r="D59" i="18"/>
  <c r="D57" i="18"/>
  <c r="D55" i="18"/>
  <c r="D54" i="18"/>
  <c r="D53" i="18"/>
  <c r="D48" i="18"/>
  <c r="D47" i="18"/>
  <c r="D46" i="18"/>
  <c r="D49" i="18"/>
  <c r="D43" i="18"/>
  <c r="D44" i="18"/>
  <c r="L41" i="18"/>
  <c r="D22" i="17"/>
  <c r="C20" i="17"/>
  <c r="C17" i="17"/>
  <c r="C16" i="17"/>
  <c r="C15" i="17"/>
  <c r="C14" i="17"/>
  <c r="C12" i="17"/>
  <c r="C11" i="17"/>
  <c r="P9" i="17"/>
  <c r="C9" i="17"/>
  <c r="H7" i="17"/>
  <c r="I6" i="17"/>
  <c r="T13" i="17" s="1"/>
  <c r="C6" i="17"/>
  <c r="I5" i="17"/>
  <c r="M5" i="17" s="1"/>
  <c r="C5" i="17"/>
  <c r="I4" i="17"/>
  <c r="S13" i="17" s="1"/>
  <c r="C19" i="17" s="1"/>
  <c r="I3" i="17"/>
  <c r="M3" i="17" s="1"/>
  <c r="D22" i="16"/>
  <c r="C20" i="16"/>
  <c r="C16" i="16"/>
  <c r="C15" i="16"/>
  <c r="C14" i="16"/>
  <c r="N12" i="16"/>
  <c r="M12" i="16"/>
  <c r="L12" i="16"/>
  <c r="J12" i="16"/>
  <c r="I12" i="16"/>
  <c r="H12" i="16"/>
  <c r="C12" i="16"/>
  <c r="K11" i="16"/>
  <c r="C19" i="16" s="1"/>
  <c r="H8" i="16"/>
  <c r="C9" i="16" s="1"/>
  <c r="D22" i="15"/>
  <c r="C20" i="15"/>
  <c r="C16" i="15"/>
  <c r="C15" i="15"/>
  <c r="N14" i="15"/>
  <c r="C18" i="15" s="1"/>
  <c r="M14" i="15"/>
  <c r="L14" i="15"/>
  <c r="J14" i="15"/>
  <c r="I14" i="15"/>
  <c r="H14" i="15"/>
  <c r="C14" i="15"/>
  <c r="N13" i="15"/>
  <c r="C19" i="15" s="1"/>
  <c r="H9" i="15"/>
  <c r="C9" i="15"/>
  <c r="C6" i="15"/>
  <c r="D23" i="14"/>
  <c r="H19" i="14"/>
  <c r="L18" i="14"/>
  <c r="K18" i="14"/>
  <c r="J18" i="14"/>
  <c r="M18" i="14" s="1"/>
  <c r="C20" i="14" s="1"/>
  <c r="L17" i="14"/>
  <c r="K17" i="14"/>
  <c r="J17" i="14"/>
  <c r="M17" i="14" s="1"/>
  <c r="C19" i="14" s="1"/>
  <c r="L16" i="14"/>
  <c r="K16" i="14"/>
  <c r="J16" i="14"/>
  <c r="M16" i="14" s="1"/>
  <c r="C18" i="14" s="1"/>
  <c r="L15" i="14"/>
  <c r="K15" i="14"/>
  <c r="J15" i="14"/>
  <c r="M15" i="14" s="1"/>
  <c r="C17" i="14" s="1"/>
  <c r="L14" i="14"/>
  <c r="K14" i="14"/>
  <c r="J14" i="14"/>
  <c r="M14" i="14" s="1"/>
  <c r="C16" i="14" s="1"/>
  <c r="C14" i="14"/>
  <c r="K13" i="14"/>
  <c r="M13" i="14" s="1"/>
  <c r="C15" i="14" s="1"/>
  <c r="J13" i="14"/>
  <c r="H11" i="14"/>
  <c r="H8" i="14"/>
  <c r="C9" i="14" s="1"/>
  <c r="C5" i="14"/>
  <c r="D18" i="13"/>
  <c r="C16" i="13"/>
  <c r="C15" i="13"/>
  <c r="C13" i="13" s="1"/>
  <c r="C14" i="13"/>
  <c r="C9" i="13"/>
  <c r="D18" i="10"/>
  <c r="C16" i="10"/>
  <c r="C15" i="10"/>
  <c r="C14" i="10"/>
  <c r="C13" i="10"/>
  <c r="C9" i="10"/>
  <c r="C8" i="10"/>
  <c r="C7" i="10"/>
  <c r="C3" i="10"/>
  <c r="M6" i="17" l="1"/>
  <c r="T14" i="17" s="1"/>
  <c r="M4" i="17"/>
  <c r="S14" i="17" s="1"/>
  <c r="C18" i="17" s="1"/>
  <c r="I7" i="17"/>
  <c r="K12" i="16"/>
  <c r="C18" i="16" s="1"/>
  <c r="C13" i="15"/>
  <c r="C13" i="14"/>
  <c r="C3" i="14"/>
  <c r="C4" i="14"/>
  <c r="C8" i="13"/>
  <c r="C7" i="13"/>
  <c r="C3" i="13"/>
  <c r="C18" i="10"/>
  <c r="C17" i="10"/>
  <c r="C8" i="17" l="1"/>
  <c r="C13" i="17"/>
  <c r="C7" i="17"/>
  <c r="C4" i="17"/>
  <c r="C3" i="17"/>
  <c r="M7" i="17"/>
  <c r="C13" i="16"/>
  <c r="C8" i="16"/>
  <c r="C7" i="16"/>
  <c r="C4" i="16"/>
  <c r="C3" i="16"/>
  <c r="C4" i="15"/>
  <c r="C8" i="15"/>
  <c r="C7" i="15"/>
  <c r="C3" i="15"/>
  <c r="C8" i="14"/>
  <c r="C7" i="14"/>
  <c r="C22" i="14"/>
  <c r="C23" i="14" s="1"/>
  <c r="C17" i="13"/>
  <c r="C18" i="13"/>
  <c r="C21" i="17" l="1"/>
  <c r="C22" i="17" s="1"/>
  <c r="C21" i="16"/>
  <c r="C22" i="16" s="1"/>
  <c r="C21" i="15"/>
  <c r="C22" i="15"/>
  <c r="H8" i="11" l="1"/>
  <c r="C20" i="11"/>
  <c r="C14" i="11"/>
  <c r="C9" i="11"/>
  <c r="H7" i="11"/>
  <c r="H4" i="11"/>
  <c r="H10" i="11" s="1"/>
  <c r="C15" i="9"/>
  <c r="D23" i="11"/>
  <c r="R18" i="11"/>
  <c r="R17" i="11"/>
  <c r="I8" i="11"/>
  <c r="L7" i="11"/>
  <c r="O6" i="11"/>
  <c r="O8" i="11" s="1"/>
  <c r="N6" i="11"/>
  <c r="N8" i="11" s="1"/>
  <c r="M6" i="11"/>
  <c r="M8" i="11" s="1"/>
  <c r="L6" i="11"/>
  <c r="L8" i="11" s="1"/>
  <c r="K6" i="11"/>
  <c r="K8" i="11" s="1"/>
  <c r="J6" i="11"/>
  <c r="C17" i="11" s="1"/>
  <c r="O5" i="11"/>
  <c r="O7" i="11" s="1"/>
  <c r="N5" i="11"/>
  <c r="N7" i="11" s="1"/>
  <c r="M5" i="11"/>
  <c r="M7" i="11" s="1"/>
  <c r="L5" i="11"/>
  <c r="K5" i="11"/>
  <c r="J5" i="11"/>
  <c r="I5" i="11"/>
  <c r="H5" i="11" l="1"/>
  <c r="C13" i="11"/>
  <c r="C3" i="11" s="1"/>
  <c r="J8" i="11"/>
  <c r="C22" i="11" l="1"/>
  <c r="C36" i="11"/>
  <c r="C37" i="11" s="1"/>
  <c r="C8" i="11"/>
  <c r="C7" i="11"/>
  <c r="C38" i="11" s="1"/>
  <c r="C31" i="11" l="1"/>
  <c r="C30" i="11"/>
  <c r="C32" i="11" l="1"/>
  <c r="C33" i="11" s="1"/>
  <c r="C39" i="11"/>
  <c r="C23" i="11"/>
  <c r="D58" i="18" s="1"/>
  <c r="R18" i="9" l="1"/>
  <c r="C13" i="9"/>
  <c r="C14" i="9"/>
  <c r="C9" i="9"/>
  <c r="C10" i="8"/>
  <c r="D23" i="9"/>
  <c r="R17" i="9"/>
  <c r="H8" i="9"/>
  <c r="O6" i="9"/>
  <c r="O8" i="9" s="1"/>
  <c r="N6" i="9"/>
  <c r="N8" i="9" s="1"/>
  <c r="M6" i="9"/>
  <c r="M8" i="9" s="1"/>
  <c r="L6" i="9"/>
  <c r="L8" i="9" s="1"/>
  <c r="K6" i="9"/>
  <c r="K8" i="9" s="1"/>
  <c r="J6" i="9"/>
  <c r="J8" i="9" s="1"/>
  <c r="O5" i="9"/>
  <c r="O7" i="9" s="1"/>
  <c r="N5" i="9"/>
  <c r="N7" i="9" s="1"/>
  <c r="M5" i="9"/>
  <c r="M7" i="9" s="1"/>
  <c r="L5" i="9"/>
  <c r="L7" i="9" s="1"/>
  <c r="C18" i="9" s="1"/>
  <c r="K5" i="9"/>
  <c r="J5" i="9"/>
  <c r="H5" i="9"/>
  <c r="H8" i="8"/>
  <c r="I4" i="8"/>
  <c r="I5" i="8" s="1"/>
  <c r="C16" i="8" s="1"/>
  <c r="D23" i="8"/>
  <c r="R17" i="8"/>
  <c r="O6" i="8"/>
  <c r="O8" i="8" s="1"/>
  <c r="N6" i="8"/>
  <c r="N8" i="8" s="1"/>
  <c r="M6" i="8"/>
  <c r="M8" i="8" s="1"/>
  <c r="L6" i="8"/>
  <c r="L8" i="8" s="1"/>
  <c r="K6" i="8"/>
  <c r="K8" i="8" s="1"/>
  <c r="J6" i="8"/>
  <c r="J8" i="8" s="1"/>
  <c r="O5" i="8"/>
  <c r="O7" i="8" s="1"/>
  <c r="N5" i="8"/>
  <c r="N7" i="8" s="1"/>
  <c r="M5" i="8"/>
  <c r="M7" i="8" s="1"/>
  <c r="L5" i="8"/>
  <c r="L7" i="8" s="1"/>
  <c r="K5" i="8"/>
  <c r="J5" i="8"/>
  <c r="H5" i="8"/>
  <c r="C18" i="7"/>
  <c r="H4" i="7"/>
  <c r="C14" i="7" s="1"/>
  <c r="D22" i="7"/>
  <c r="C20" i="7"/>
  <c r="C19" i="7"/>
  <c r="R16" i="7"/>
  <c r="N7" i="7"/>
  <c r="M7" i="7"/>
  <c r="L7" i="7"/>
  <c r="O6" i="7"/>
  <c r="N6" i="7"/>
  <c r="M6" i="7"/>
  <c r="L6" i="7"/>
  <c r="K6" i="7"/>
  <c r="J6" i="7"/>
  <c r="I6" i="7"/>
  <c r="C17" i="7" s="1"/>
  <c r="O5" i="7"/>
  <c r="O7" i="7" s="1"/>
  <c r="N5" i="7"/>
  <c r="M5" i="7"/>
  <c r="L5" i="7"/>
  <c r="K5" i="7"/>
  <c r="J5" i="7"/>
  <c r="I5" i="7"/>
  <c r="H4" i="6"/>
  <c r="C14" i="6" s="1"/>
  <c r="D22" i="6"/>
  <c r="C20" i="6"/>
  <c r="C19" i="6"/>
  <c r="R16" i="6"/>
  <c r="O7" i="6"/>
  <c r="N7" i="6"/>
  <c r="M7" i="6"/>
  <c r="L7" i="6"/>
  <c r="O6" i="6"/>
  <c r="N6" i="6"/>
  <c r="M6" i="6"/>
  <c r="L6" i="6"/>
  <c r="K6" i="6"/>
  <c r="J6" i="6"/>
  <c r="I6" i="6"/>
  <c r="C17" i="6" s="1"/>
  <c r="O5" i="6"/>
  <c r="N5" i="6"/>
  <c r="M5" i="6"/>
  <c r="L5" i="6"/>
  <c r="K5" i="6"/>
  <c r="J5" i="6"/>
  <c r="I5" i="6"/>
  <c r="H4" i="5"/>
  <c r="C14" i="5" s="1"/>
  <c r="D22" i="5"/>
  <c r="C20" i="5"/>
  <c r="C19" i="5"/>
  <c r="R16" i="5"/>
  <c r="O7" i="5"/>
  <c r="N7" i="5"/>
  <c r="M7" i="5"/>
  <c r="L7" i="5"/>
  <c r="O6" i="5"/>
  <c r="N6" i="5"/>
  <c r="M6" i="5"/>
  <c r="L6" i="5"/>
  <c r="K6" i="5"/>
  <c r="J6" i="5"/>
  <c r="I6" i="5"/>
  <c r="C17" i="5" s="1"/>
  <c r="O5" i="5"/>
  <c r="N5" i="5"/>
  <c r="M5" i="5"/>
  <c r="L5" i="5"/>
  <c r="K5" i="5"/>
  <c r="J5" i="5"/>
  <c r="I5" i="5"/>
  <c r="C31" i="3"/>
  <c r="C30" i="3"/>
  <c r="C32" i="3" s="1"/>
  <c r="C29" i="3"/>
  <c r="C18" i="4"/>
  <c r="C19" i="2"/>
  <c r="C18" i="3"/>
  <c r="C13" i="3" s="1"/>
  <c r="H5" i="4"/>
  <c r="I5" i="4"/>
  <c r="J5" i="4"/>
  <c r="K5" i="4"/>
  <c r="L5" i="4"/>
  <c r="M5" i="4"/>
  <c r="H4" i="4"/>
  <c r="I4" i="4"/>
  <c r="J4" i="4"/>
  <c r="K4" i="4"/>
  <c r="L4" i="4"/>
  <c r="M4" i="4"/>
  <c r="G5" i="4"/>
  <c r="G4" i="4"/>
  <c r="R15" i="4"/>
  <c r="D21" i="4"/>
  <c r="J3" i="4"/>
  <c r="C16" i="3"/>
  <c r="C15" i="3"/>
  <c r="C14" i="3"/>
  <c r="C9" i="3"/>
  <c r="C19" i="3"/>
  <c r="H5" i="3"/>
  <c r="I5" i="3"/>
  <c r="J5" i="3"/>
  <c r="K5" i="3"/>
  <c r="L5" i="3"/>
  <c r="M5" i="3"/>
  <c r="G5" i="3"/>
  <c r="C17" i="3" s="1"/>
  <c r="H4" i="3"/>
  <c r="I4" i="3"/>
  <c r="J4" i="3"/>
  <c r="K4" i="3"/>
  <c r="L4" i="3"/>
  <c r="M4" i="3"/>
  <c r="G4" i="3"/>
  <c r="R15" i="3"/>
  <c r="D21" i="3"/>
  <c r="L3" i="3"/>
  <c r="D22" i="2"/>
  <c r="C20" i="2"/>
  <c r="R16" i="2"/>
  <c r="C14" i="2"/>
  <c r="H10" i="2"/>
  <c r="C10" i="2"/>
  <c r="C9" i="2"/>
  <c r="O7" i="2"/>
  <c r="N7" i="2"/>
  <c r="M7" i="2"/>
  <c r="L7" i="2"/>
  <c r="H7" i="2"/>
  <c r="C18" i="2" s="1"/>
  <c r="O6" i="2"/>
  <c r="N6" i="2"/>
  <c r="M6" i="2"/>
  <c r="L6" i="2"/>
  <c r="K6" i="2"/>
  <c r="J6" i="2"/>
  <c r="I6" i="2"/>
  <c r="C17" i="2" s="1"/>
  <c r="O5" i="2"/>
  <c r="N5" i="2"/>
  <c r="M5" i="2"/>
  <c r="L5" i="2"/>
  <c r="K5" i="2"/>
  <c r="J5" i="2"/>
  <c r="I5" i="2"/>
  <c r="H4" i="2"/>
  <c r="H5" i="2" s="1"/>
  <c r="C16" i="2" s="1"/>
  <c r="D21" i="1"/>
  <c r="C19" i="1"/>
  <c r="C15" i="1"/>
  <c r="P14" i="1"/>
  <c r="C14" i="1"/>
  <c r="C9" i="1"/>
  <c r="M5" i="1"/>
  <c r="L5" i="1"/>
  <c r="I5" i="1"/>
  <c r="H5" i="1"/>
  <c r="G5" i="1"/>
  <c r="M4" i="1"/>
  <c r="L4" i="1"/>
  <c r="I4" i="1"/>
  <c r="H4" i="1"/>
  <c r="G4" i="1"/>
  <c r="K3" i="1"/>
  <c r="K5" i="1" s="1"/>
  <c r="J3" i="1"/>
  <c r="J5" i="1" s="1"/>
  <c r="C17" i="1" s="1"/>
  <c r="I8" i="9" l="1"/>
  <c r="C17" i="9"/>
  <c r="H10" i="9"/>
  <c r="I5" i="9"/>
  <c r="H10" i="8"/>
  <c r="C9" i="8"/>
  <c r="C17" i="8"/>
  <c r="I8" i="8"/>
  <c r="C18" i="8"/>
  <c r="H5" i="7"/>
  <c r="C16" i="7" s="1"/>
  <c r="H7" i="7"/>
  <c r="C9" i="7"/>
  <c r="C10" i="7"/>
  <c r="H10" i="7"/>
  <c r="C13" i="7"/>
  <c r="H5" i="6"/>
  <c r="C16" i="6" s="1"/>
  <c r="C13" i="6" s="1"/>
  <c r="H7" i="6"/>
  <c r="C18" i="6" s="1"/>
  <c r="C9" i="6"/>
  <c r="C10" i="6"/>
  <c r="H10" i="6"/>
  <c r="C9" i="5"/>
  <c r="C10" i="5"/>
  <c r="H5" i="5"/>
  <c r="C16" i="5" s="1"/>
  <c r="H10" i="5"/>
  <c r="H7" i="5"/>
  <c r="C18" i="5" s="1"/>
  <c r="C13" i="5" s="1"/>
  <c r="C13" i="4"/>
  <c r="C8" i="4" s="1"/>
  <c r="C13" i="2"/>
  <c r="C16" i="4"/>
  <c r="C6" i="2"/>
  <c r="C3" i="2"/>
  <c r="C8" i="2"/>
  <c r="C7" i="2"/>
  <c r="C30" i="2" s="1"/>
  <c r="J4" i="1"/>
  <c r="K4" i="1"/>
  <c r="C3" i="4" l="1"/>
  <c r="C3" i="9"/>
  <c r="C22" i="9" s="1"/>
  <c r="C13" i="8"/>
  <c r="C3" i="8" s="1"/>
  <c r="C35" i="8" s="1"/>
  <c r="C6" i="7"/>
  <c r="C3" i="7"/>
  <c r="C8" i="7"/>
  <c r="C7" i="7"/>
  <c r="C30" i="7" s="1"/>
  <c r="C6" i="6"/>
  <c r="C3" i="6"/>
  <c r="C8" i="6"/>
  <c r="C7" i="6"/>
  <c r="C6" i="5"/>
  <c r="C3" i="5"/>
  <c r="C8" i="5"/>
  <c r="C7" i="5"/>
  <c r="C29" i="2"/>
  <c r="C21" i="2"/>
  <c r="C31" i="2" s="1"/>
  <c r="C16" i="1"/>
  <c r="C13" i="1" s="1"/>
  <c r="C30" i="9" l="1"/>
  <c r="C7" i="9"/>
  <c r="C8" i="9"/>
  <c r="C8" i="8"/>
  <c r="C7" i="8"/>
  <c r="C29" i="7"/>
  <c r="C21" i="7"/>
  <c r="C31" i="7" s="1"/>
  <c r="C30" i="6"/>
  <c r="C21" i="6"/>
  <c r="C31" i="6" s="1"/>
  <c r="C29" i="6"/>
  <c r="C30" i="5"/>
  <c r="C21" i="5"/>
  <c r="C31" i="5" s="1"/>
  <c r="C29" i="5"/>
  <c r="C22" i="5"/>
  <c r="C7" i="4"/>
  <c r="C30" i="4" s="1"/>
  <c r="C29" i="4"/>
  <c r="C8" i="3"/>
  <c r="C7" i="3"/>
  <c r="C6" i="3"/>
  <c r="C3" i="3"/>
  <c r="C22" i="2"/>
  <c r="C32" i="2"/>
  <c r="C3" i="1"/>
  <c r="C8" i="1"/>
  <c r="C7" i="1"/>
  <c r="C30" i="1" s="1"/>
  <c r="C6" i="1"/>
  <c r="C31" i="8" l="1"/>
  <c r="C37" i="8"/>
  <c r="C31" i="9"/>
  <c r="C32" i="9"/>
  <c r="C30" i="8"/>
  <c r="C22" i="8"/>
  <c r="C22" i="7"/>
  <c r="C32" i="7"/>
  <c r="C32" i="6"/>
  <c r="C22" i="6"/>
  <c r="C32" i="5"/>
  <c r="C20" i="4"/>
  <c r="C31" i="4" s="1"/>
  <c r="C32" i="4" s="1"/>
  <c r="C20" i="3"/>
  <c r="C21" i="3" s="1"/>
  <c r="C22" i="3" s="1"/>
  <c r="C29" i="1"/>
  <c r="C20" i="1"/>
  <c r="C31" i="1" s="1"/>
  <c r="C32" i="8" l="1"/>
  <c r="C36" i="8"/>
  <c r="C38" i="8" s="1"/>
  <c r="C33" i="9"/>
  <c r="C23" i="9"/>
  <c r="C33" i="8"/>
  <c r="C23" i="8"/>
  <c r="D56" i="18" s="1"/>
  <c r="C21" i="4"/>
  <c r="D45" i="18" s="1"/>
  <c r="C21" i="1"/>
  <c r="C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 Nack</author>
  </authors>
  <commentList>
    <comment ref="C3" authorId="0" shapeId="0" xr:uid="{72BB3DB5-5994-4B52-A61F-1A8F0204D27F}">
      <text>
        <r>
          <rPr>
            <b/>
            <sz val="9"/>
            <color indexed="81"/>
            <rFont val="Tahoma"/>
            <family val="2"/>
          </rPr>
          <t>Rick Nack:</t>
        </r>
        <r>
          <rPr>
            <sz val="9"/>
            <color indexed="81"/>
            <rFont val="Tahoma"/>
            <family val="2"/>
          </rPr>
          <t xml:space="preserve">
Is Inspection included in this item?</t>
        </r>
      </text>
    </comment>
  </commentList>
</comments>
</file>

<file path=xl/sharedStrings.xml><?xml version="1.0" encoding="utf-8"?>
<sst xmlns="http://schemas.openxmlformats.org/spreadsheetml/2006/main" count="1429" uniqueCount="417">
  <si>
    <t>The scope of this project is directly from 2011 CIP</t>
  </si>
  <si>
    <t>Techite Pipe + 1  Upstream VCP</t>
  </si>
  <si>
    <t>Item</t>
  </si>
  <si>
    <t>Cost</t>
  </si>
  <si>
    <t>8in</t>
  </si>
  <si>
    <t>10in</t>
  </si>
  <si>
    <t>12in</t>
  </si>
  <si>
    <t>15in</t>
  </si>
  <si>
    <t>18in</t>
  </si>
  <si>
    <t>21in</t>
  </si>
  <si>
    <t>24in</t>
  </si>
  <si>
    <t>Enter Values for Yellow Cells</t>
  </si>
  <si>
    <t>Design</t>
  </si>
  <si>
    <t>Small, simple design @ 5%</t>
  </si>
  <si>
    <t>Length:</t>
  </si>
  <si>
    <t>Environmental Design</t>
  </si>
  <si>
    <t>CCTV:</t>
  </si>
  <si>
    <t>Rehab. Cost per Ft 2025 Estimate</t>
  </si>
  <si>
    <t>Temporary and/or Permanent Easements</t>
  </si>
  <si>
    <t>No easements anticipated</t>
  </si>
  <si>
    <t>Rehab:</t>
  </si>
  <si>
    <t>CCTV/Prep Cost per Ft 2025 Estimate</t>
  </si>
  <si>
    <t>Permits (ROW, VCWPD, 401, 404, etc.)</t>
  </si>
  <si>
    <t>Assume each project is $1M and needs a $2,500 permit</t>
  </si>
  <si>
    <t>Avg prop line (dense)</t>
  </si>
  <si>
    <t>Construction Management</t>
  </si>
  <si>
    <t>CM assistance at 5%</t>
  </si>
  <si>
    <t>No. MHs:</t>
  </si>
  <si>
    <t>Avg prop line (rural)</t>
  </si>
  <si>
    <t>Construction Phase Services</t>
  </si>
  <si>
    <t>CPS at 2.%</t>
  </si>
  <si>
    <t>Rehab Cost / MH inc. TC:</t>
  </si>
  <si>
    <t>Sewer Lateral Re-establishment</t>
  </si>
  <si>
    <t>Inspection</t>
  </si>
  <si>
    <t>Contract inspection</t>
  </si>
  <si>
    <t>Sewer Lateral Insert</t>
  </si>
  <si>
    <t>Material Testing</t>
  </si>
  <si>
    <t>No paving, MH testing included in price</t>
  </si>
  <si>
    <t>Traffic Control / Day (Minor)</t>
  </si>
  <si>
    <t>Restoration</t>
  </si>
  <si>
    <t>No restoration anticipated.</t>
  </si>
  <si>
    <t>Traffic Control / Day (Significant)</t>
  </si>
  <si>
    <t>Mitigation</t>
  </si>
  <si>
    <t>No mitigation anticipated</t>
  </si>
  <si>
    <t>Traffic Control / Day (Caltrans)</t>
  </si>
  <si>
    <t>Mobilization</t>
  </si>
  <si>
    <t>Point Repair Est.</t>
  </si>
  <si>
    <t>Traffic Control (reduced to half minor TC cost)</t>
  </si>
  <si>
    <t>Inspection / Day</t>
  </si>
  <si>
    <t>Point Repairs</t>
  </si>
  <si>
    <t>CCTV Inspection and Pipe Preparation</t>
  </si>
  <si>
    <t>Sewer Main Lining</t>
  </si>
  <si>
    <t>Sewer Lateral Re-Establishment / Lateral Inserts</t>
  </si>
  <si>
    <t>None</t>
  </si>
  <si>
    <t>Manhole Rehabilitation</t>
  </si>
  <si>
    <t>Closeout, As-builts</t>
  </si>
  <si>
    <t>TOTAL</t>
  </si>
  <si>
    <t>Design and Environmental</t>
  </si>
  <si>
    <t>Inspection and Construction Management</t>
  </si>
  <si>
    <t>Construction and Closeout</t>
  </si>
  <si>
    <t>Total Cost</t>
  </si>
  <si>
    <t>Comments / Assumptions</t>
  </si>
  <si>
    <t>Small, simple design @ 7.5%</t>
  </si>
  <si>
    <t>6in</t>
  </si>
  <si>
    <t>Anticipate need for arborist report ($50k + $50k over time)</t>
  </si>
  <si>
    <t>Bursting Cost per Ft Estimate</t>
  </si>
  <si>
    <t>Rehab (Lining):</t>
  </si>
  <si>
    <t>Bursting:</t>
  </si>
  <si>
    <t>CPS at 5%</t>
  </si>
  <si>
    <t>Testing for final A/C paving in bursting area</t>
  </si>
  <si>
    <t>Restoration embedded in constructon. No major restoration projects anticipated.</t>
  </si>
  <si>
    <t>Note: this will be separate D&amp;C projects over many years</t>
  </si>
  <si>
    <t>Traffic Control</t>
  </si>
  <si>
    <t>TC complex in MO. 400 LF/day CIPP, 150 LF/day bursting.</t>
  </si>
  <si>
    <t>High GW in MO per 2014 I&amp;I study. May be required in CIPP and bursting area.</t>
  </si>
  <si>
    <t>Point Repair High GW</t>
  </si>
  <si>
    <t>Sewer Main Lining (&gt;6in)</t>
  </si>
  <si>
    <t>Sewer Main Bursting (6in) inc. Lateral Connection</t>
  </si>
  <si>
    <t>Note: may be more practical to open trench due to short P/Ls in MO</t>
  </si>
  <si>
    <t>Sewer Lateral Re-Establishment (CIPP only)</t>
  </si>
  <si>
    <t>Sewer Lateral Insert (CIPP only)</t>
  </si>
  <si>
    <t>Old Creek Road to GSC</t>
  </si>
  <si>
    <t>Description - Trunk Sewer Rehab. (Old Creek Rd I-19-02 to H-18-08)</t>
  </si>
  <si>
    <t>CM assistance at 10%</t>
  </si>
  <si>
    <t>No paving</t>
  </si>
  <si>
    <t>Sewer Lateral Re-Establishment</t>
  </si>
  <si>
    <t>TOTAL 2--In-house Design</t>
  </si>
  <si>
    <t>City: ACP Golden West to Shady Ln</t>
  </si>
  <si>
    <t>Description - Rancho Dr and Alto/Feliz Dr Pipe Bursting</t>
  </si>
  <si>
    <t>Description - Trunk Sewer Rehab. (Ojai Trunk from S-30-07 to S-30-16)</t>
  </si>
  <si>
    <t>Point Repair High GW or  Complex</t>
  </si>
  <si>
    <t>High GW/Complex</t>
  </si>
  <si>
    <t>Description - Techite Pipe Rehab (OVT near Grande Vista) G-20-05 to G-19-06</t>
  </si>
  <si>
    <t>Description - Alto Dr Pipe Bursting</t>
  </si>
  <si>
    <t>Description - Rancho Dr Pipe Bursting</t>
  </si>
  <si>
    <t>Description - Feliz Dr Pipe Bursting</t>
  </si>
  <si>
    <t>Small CalTrans design @ 10%</t>
  </si>
  <si>
    <t>Description - N. Ventura Ave. Sewer Improvements</t>
  </si>
  <si>
    <t>"Restaurant Row"</t>
  </si>
  <si>
    <t>Dig and Replace</t>
  </si>
  <si>
    <t>Dig and Replce per Ft Estimate</t>
  </si>
  <si>
    <t>Sewer Main Replacement</t>
  </si>
  <si>
    <t>Anticipate need for arborist report ($15k + $10k over time)</t>
  </si>
  <si>
    <t>Caltrans</t>
  </si>
  <si>
    <t>Testing for final A/C paving</t>
  </si>
  <si>
    <t>Caltrans TC</t>
  </si>
  <si>
    <t>Assume a $2,500 permit</t>
  </si>
  <si>
    <t>Standard Manhole Construction</t>
  </si>
  <si>
    <t>Smal design @10% -- Note anticipate in-house design and inspection are likely</t>
  </si>
  <si>
    <t>Contract inspection for 12 days</t>
  </si>
  <si>
    <t>Simple TC for 12 days</t>
  </si>
  <si>
    <t>Description - Pipe Burst 6in and relocate MH from Redwood</t>
  </si>
  <si>
    <t>Barbara &amp; Calle Vista del Monte x Puesta del Sol and Convert CO I-24-40, I-24-25, I-24-34</t>
  </si>
  <si>
    <t>Construct two manholes in Barbara St Area, convert 3 cleanouts</t>
  </si>
  <si>
    <t>CM assistance at 7.5%</t>
  </si>
  <si>
    <t>CPS at 7.5%</t>
  </si>
  <si>
    <t>Contract inspection for 20 days</t>
  </si>
  <si>
    <t>Significant restoration to private property anticipated</t>
  </si>
  <si>
    <t>Caltrans TC for 2 days</t>
  </si>
  <si>
    <t>Construct two new manholes, abandon one manhole</t>
  </si>
  <si>
    <t>Regulatory / Compliance Risk</t>
  </si>
  <si>
    <t>Public Health and Safety</t>
  </si>
  <si>
    <t>Out of Compliance</t>
  </si>
  <si>
    <t>Asset Condition</t>
  </si>
  <si>
    <t>Good</t>
  </si>
  <si>
    <t>New</t>
  </si>
  <si>
    <t>Fair</t>
  </si>
  <si>
    <t>Consequence of Failure</t>
  </si>
  <si>
    <t>Ongoing risk</t>
  </si>
  <si>
    <t>No risk</t>
  </si>
  <si>
    <t>No Potential</t>
  </si>
  <si>
    <t>Likelihood of Failure</t>
  </si>
  <si>
    <t>Imminent</t>
  </si>
  <si>
    <t>Probable</t>
  </si>
  <si>
    <t>Possible</t>
  </si>
  <si>
    <t>Improbable</t>
  </si>
  <si>
    <t>Techite Pipe Rehabilitation</t>
  </si>
  <si>
    <t>Time Criticality</t>
  </si>
  <si>
    <t>1 year or less</t>
  </si>
  <si>
    <t>1 to 3 years</t>
  </si>
  <si>
    <t>3 to 5 years</t>
  </si>
  <si>
    <t>More than 5 years</t>
  </si>
  <si>
    <t>Not time critical</t>
  </si>
  <si>
    <t>System Impact / Redundancy</t>
  </si>
  <si>
    <t>Critical lone system</t>
  </si>
  <si>
    <t>Active redundancy</t>
  </si>
  <si>
    <t>Passive redundancy</t>
  </si>
  <si>
    <t>Fault-tolerant, no alarm</t>
  </si>
  <si>
    <t>Fault tolerant, with alarm</t>
  </si>
  <si>
    <t>Pipe Bursting - Rancho Dr</t>
  </si>
  <si>
    <t>Pipe Bursting - Alto Dr</t>
  </si>
  <si>
    <t>Pipe Bursting - Feliz Dr</t>
  </si>
  <si>
    <t>Old Creek Rd Rehab</t>
  </si>
  <si>
    <t>Ojai Asbestos Pipe Rehab.</t>
  </si>
  <si>
    <t>N. Ventura Ave. Improvements</t>
  </si>
  <si>
    <t>Constructability</t>
  </si>
  <si>
    <t>Design Complete</t>
  </si>
  <si>
    <t>In Design</t>
  </si>
  <si>
    <t>Scope Complete</t>
  </si>
  <si>
    <t>Scope Unknown</t>
  </si>
  <si>
    <t>Severe
Close to waterway
High volume</t>
  </si>
  <si>
    <t>Minimal
Far from Waterway
Low Volume</t>
  </si>
  <si>
    <t>Far from Waterway
Moderate Volume</t>
  </si>
  <si>
    <t>Close to waterway
Low-Moderate Volume</t>
  </si>
  <si>
    <t>Hydraulic Capacity / O&amp;M Ability</t>
  </si>
  <si>
    <t>Good
Minimal roots or cracks</t>
  </si>
  <si>
    <t>Conceptual Design Needed</t>
  </si>
  <si>
    <t>Very Poor
Low Capacity
Frequent Hotspot</t>
  </si>
  <si>
    <t>New
No Capacity Issues
Not a hotspot</t>
  </si>
  <si>
    <t>Mira Monte Sewer Improvements (Redwood Tree Issue)</t>
  </si>
  <si>
    <t>Mira Monte Sewer Improvements</t>
  </si>
  <si>
    <t>The scope of this project is from 2011 CIP</t>
  </si>
  <si>
    <t>Description - Lomita Ave. Vertical Realignment</t>
  </si>
  <si>
    <t>Complex design @ 10% (survey, Caltrans coordination)</t>
  </si>
  <si>
    <t>Days</t>
  </si>
  <si>
    <t>Bypass/day</t>
  </si>
  <si>
    <t>VCWPD and County</t>
  </si>
  <si>
    <t>Pipeline Construction</t>
  </si>
  <si>
    <t>Caltrans ROW. Compaction, nuclear gauge, etc.</t>
  </si>
  <si>
    <t>Temporary Piping &amp; Flow Diversion</t>
  </si>
  <si>
    <t>Estimate 6 days of bypass inc. setup</t>
  </si>
  <si>
    <t>Pipeline Construction (200 LF)</t>
  </si>
  <si>
    <t>May be able to reduce this length. Need survey.</t>
  </si>
  <si>
    <t>Description - Pirie Road Vertical Realignment</t>
  </si>
  <si>
    <t>City, Caltrans, and VCWPD</t>
  </si>
  <si>
    <t>Description - Prospect Meter Flume Installation and Pipeline Realignment</t>
  </si>
  <si>
    <t>Arborist report + inspection during excavation and backfill</t>
  </si>
  <si>
    <t>Bypass Costs / Day</t>
  </si>
  <si>
    <t>Property owner</t>
  </si>
  <si>
    <t>Traffic Control / Day</t>
  </si>
  <si>
    <t>Parks, possibly Roads</t>
  </si>
  <si>
    <t>Shoring / Day</t>
  </si>
  <si>
    <t>Point Repair or Mod. (Trunk)</t>
  </si>
  <si>
    <t>Compaction, pavement, pipeline</t>
  </si>
  <si>
    <t>Crew Size (avg)</t>
  </si>
  <si>
    <t>Anticipate some planting, fencing, etc.</t>
  </si>
  <si>
    <t>Equipment (avg)</t>
  </si>
  <si>
    <t>None anticipated</t>
  </si>
  <si>
    <t>Labor</t>
  </si>
  <si>
    <t>Equipment</t>
  </si>
  <si>
    <t>Materials/Disposal</t>
  </si>
  <si>
    <t>Total</t>
  </si>
  <si>
    <t>Site Preparation</t>
  </si>
  <si>
    <t>Maintain trail closure</t>
  </si>
  <si>
    <t>Excavation</t>
  </si>
  <si>
    <t>Site Preparation inc. Temporary Piping &amp; Flow Diversion</t>
  </si>
  <si>
    <t>Estimate 10 days bypassing</t>
  </si>
  <si>
    <t>Flume Install</t>
  </si>
  <si>
    <t>Excavation (150 LF of 15in)</t>
  </si>
  <si>
    <t>Pipeline</t>
  </si>
  <si>
    <t>Backfill</t>
  </si>
  <si>
    <t>Pipeline Install</t>
  </si>
  <si>
    <t>Paving and Restoration</t>
  </si>
  <si>
    <t>SCADA I&amp;C</t>
  </si>
  <si>
    <t>Description - Foster Park Trunk Sewer Relocation</t>
  </si>
  <si>
    <t>5% design</t>
  </si>
  <si>
    <t>5% design for CEQA + arborist report + arborist</t>
  </si>
  <si>
    <t>Access through Edison Dr. property?</t>
  </si>
  <si>
    <t>Drilling Cost</t>
  </si>
  <si>
    <t>Point Repair Trunk</t>
  </si>
  <si>
    <t>Point Repair Trunk Hi GW</t>
  </si>
  <si>
    <t>Only for trail closure</t>
  </si>
  <si>
    <t>Planting, fencing, restoration of private property, etc.</t>
  </si>
  <si>
    <t>No mitigation anticipated (outside of waterway)</t>
  </si>
  <si>
    <t>Drill Length:</t>
  </si>
  <si>
    <t>Trail closure + 3 days in CT ROW for equipment/material delivery</t>
  </si>
  <si>
    <t>Pipe Length</t>
  </si>
  <si>
    <t>4 days set up + 3 days bypassing (only BP during tie-in)</t>
  </si>
  <si>
    <t>Select Demolition, including Piping, Fittings, Existing MHs</t>
  </si>
  <si>
    <t>Site Preparation for HDD</t>
  </si>
  <si>
    <t>HDPE Pipe (Welded)</t>
  </si>
  <si>
    <t>Pipe, fittings, technician (2 days)</t>
  </si>
  <si>
    <t>HDD Pipe Installation (995 ft + 50 ft each end)</t>
  </si>
  <si>
    <t>Tie In to Collection System with Two New MHs</t>
  </si>
  <si>
    <t>Description - San Antonio Creek Siphon Replacement</t>
  </si>
  <si>
    <t>Complex design @ 10% - HDD</t>
  </si>
  <si>
    <t>Significant environmental assistance required, assume 15% construction cost</t>
  </si>
  <si>
    <t>Permits from RB, ACOE, VCWPD, Caltrans, etc.</t>
  </si>
  <si>
    <t>insp. only</t>
  </si>
  <si>
    <t>Geotechnical, pipeline</t>
  </si>
  <si>
    <t>Need to update based on impacted area - 50ftx150ft in1 location, 3:1, $200k/acre</t>
  </si>
  <si>
    <t>Limit cost by only bypassing during tie-in</t>
  </si>
  <si>
    <t>TC in CT ROW</t>
  </si>
  <si>
    <t>Delivery/pickup of materials and equipment (5 days) - reduce by accessing from south end?</t>
  </si>
  <si>
    <r>
      <t xml:space="preserve">Pipe, fittings, technician (2 days), </t>
    </r>
    <r>
      <rPr>
        <sz val="11"/>
        <color rgb="FFFF0000"/>
        <rFont val="Aptos Narrow"/>
        <family val="2"/>
        <scheme val="minor"/>
      </rPr>
      <t>update with actual ISCO HDPE pricing</t>
    </r>
  </si>
  <si>
    <t>HDD Pipe Installation (250 ft + 50 ft each end)</t>
  </si>
  <si>
    <t>Description - Creek Road Siphons (4) Replacement</t>
  </si>
  <si>
    <t>Length</t>
  </si>
  <si>
    <t>Length Future</t>
  </si>
  <si>
    <t>Size</t>
  </si>
  <si>
    <t>Size Future</t>
  </si>
  <si>
    <t>Barrels</t>
  </si>
  <si>
    <t>Pipe Total</t>
  </si>
  <si>
    <t>Complex design @ 7.5% - 4x HDD designs</t>
  </si>
  <si>
    <t>Stewart</t>
  </si>
  <si>
    <t>10 MPH</t>
  </si>
  <si>
    <t>Country Club</t>
  </si>
  <si>
    <t>Permits from RB, ACOE, VCWPD, Caltrans, etc. x 4 if 4 separate projects?</t>
  </si>
  <si>
    <t>Hermosa</t>
  </si>
  <si>
    <t>Traffic Control/Day</t>
  </si>
  <si>
    <t>Need to update based on impacted area - 50ftx150ft in 8 locations, 3:1, $200k/acre</t>
  </si>
  <si>
    <r>
      <t xml:space="preserve">Pipe, fittings, technician (2 days) ea location, </t>
    </r>
    <r>
      <rPr>
        <sz val="11"/>
        <color rgb="FFFF0000"/>
        <rFont val="Aptos Narrow"/>
        <family val="2"/>
        <scheme val="minor"/>
      </rPr>
      <t>update with actual ISCO HDPE pricing</t>
    </r>
  </si>
  <si>
    <t>4 locations</t>
  </si>
  <si>
    <t>Cost Estimate</t>
  </si>
  <si>
    <t>Lomita Ave Sewer Improvements</t>
  </si>
  <si>
    <t>Pirie Road Sewer Improvements</t>
  </si>
  <si>
    <t>Prospect Trunk Sewer Realignment</t>
  </si>
  <si>
    <t>Foster Park Sewer Relocation</t>
  </si>
  <si>
    <t>San Antonio Creek Siphon</t>
  </si>
  <si>
    <t>Creek Road Siphons (4)</t>
  </si>
  <si>
    <t>Risk-Probability Value</t>
  </si>
  <si>
    <t>Former MO Trunk Improvements-Design</t>
  </si>
  <si>
    <t>Former MO Trunk Improvements-Construction</t>
  </si>
  <si>
    <t>Large-Scale CIP: Collectors</t>
  </si>
  <si>
    <t>Large-Scale CIP: Trunk</t>
  </si>
  <si>
    <t>Large-Scale CIP: Lift Stations</t>
  </si>
  <si>
    <t>Misc. Improvements</t>
  </si>
  <si>
    <t>Admin</t>
  </si>
  <si>
    <t>Studies</t>
  </si>
  <si>
    <t>Future Project</t>
  </si>
  <si>
    <t>Bold font indicates project is recommended for FY26-27 budget</t>
  </si>
  <si>
    <t>Santa Ana Lift Station No. 2 Improvements</t>
  </si>
  <si>
    <t>RMLS Lift Station Improvements</t>
  </si>
  <si>
    <t>OLS Lift Station Improvements</t>
  </si>
  <si>
    <t>E-One Pump Test Area (at WWTP)</t>
  </si>
  <si>
    <t>Septage Receiving System</t>
  </si>
  <si>
    <t>I&amp;I Study: Upstream of Prospect Meter</t>
  </si>
  <si>
    <t>Easement Acquisition and/or Abandonment</t>
  </si>
  <si>
    <t>Tico ADA Compliance</t>
  </si>
  <si>
    <t>Break Room, Board Room Improvements</t>
  </si>
  <si>
    <t>Locker Rooms + Eng. / IT Improvements</t>
  </si>
  <si>
    <t>Meiners Oaks (BO1) Sewer Main Rehab. and Pipe Bursting</t>
  </si>
  <si>
    <t>Oak View (CO2, CO5, CO6) Sewer Main Rehab. and Pipe Bursting</t>
  </si>
  <si>
    <t>Max Value:</t>
  </si>
  <si>
    <t>Weight:</t>
  </si>
  <si>
    <t>Risk Category:</t>
  </si>
  <si>
    <t>Techite</t>
  </si>
  <si>
    <t>feet</t>
  </si>
  <si>
    <t>CIPP:</t>
  </si>
  <si>
    <t>Burst:</t>
  </si>
  <si>
    <t>Line Segment</t>
  </si>
  <si>
    <t>Basin</t>
  </si>
  <si>
    <t>Pipe Material</t>
  </si>
  <si>
    <t>Pipe Size</t>
  </si>
  <si>
    <t>Street Address Upstream</t>
  </si>
  <si>
    <t>I-19-03-I-19-04</t>
  </si>
  <si>
    <t>AO9</t>
  </si>
  <si>
    <t>TEC</t>
  </si>
  <si>
    <t>9950  OLD CREEK RD</t>
  </si>
  <si>
    <t>I-19-02-I-19-03</t>
  </si>
  <si>
    <t>Old Creek Rd</t>
  </si>
  <si>
    <t>G-19-01-G-19-03</t>
  </si>
  <si>
    <t>CO7</t>
  </si>
  <si>
    <t xml:space="preserve">  OJAI TRAIL </t>
  </si>
  <si>
    <t>G-19-03-G-19-04</t>
  </si>
  <si>
    <t>G-19-04-G-19-05</t>
  </si>
  <si>
    <t>G-19-05-G-19-06</t>
  </si>
  <si>
    <t>Cast Iron</t>
  </si>
  <si>
    <t>P-29-22-P-29-23</t>
  </si>
  <si>
    <t>AO6</t>
  </si>
  <si>
    <t>CIP (Cast Iron Pipe)</t>
  </si>
  <si>
    <t>517 OAK CREEK LN</t>
  </si>
  <si>
    <t>P-29-23-Q-29-14</t>
  </si>
  <si>
    <t>N-27-01-N-27-02</t>
  </si>
  <si>
    <t>AO7</t>
  </si>
  <si>
    <t>O-26-02B-O-26-03B</t>
  </si>
  <si>
    <t>AO8</t>
  </si>
  <si>
    <t>11969  CREEK RD</t>
  </si>
  <si>
    <t>P-27-03-A-P-27-04-A</t>
  </si>
  <si>
    <t>1720 CREEK RD</t>
  </si>
  <si>
    <t>Q-29-14-Q-29-15</t>
  </si>
  <si>
    <t>539 S Ventura St</t>
  </si>
  <si>
    <t>Q-29-16A-Q-29-17A</t>
  </si>
  <si>
    <t>539 S VENTURA ST</t>
  </si>
  <si>
    <t>Q-29-16B-Q-29-17B</t>
  </si>
  <si>
    <t>P-27-03-B-P-27-04-B</t>
  </si>
  <si>
    <t>1720 Creek Rd</t>
  </si>
  <si>
    <t>O-26-02A-O-26-03A</t>
  </si>
  <si>
    <t>J-20-01-J-20-02</t>
  </si>
  <si>
    <t>10200  CREEK RD</t>
  </si>
  <si>
    <t>P-30-25-P-30-24</t>
  </si>
  <si>
    <t>A10</t>
  </si>
  <si>
    <t>302 W OJAI AVE</t>
  </si>
  <si>
    <t>P-30-24-P-30-23</t>
  </si>
  <si>
    <t>236 W OJAI AVE</t>
  </si>
  <si>
    <t>N-29-02-N-29-01</t>
  </si>
  <si>
    <t>BO1</t>
  </si>
  <si>
    <t>1401  Maricopa Hwy</t>
  </si>
  <si>
    <t>K-26-04-K-26-05</t>
  </si>
  <si>
    <t>CO1</t>
  </si>
  <si>
    <t>661. W. VILLANOVA RD</t>
  </si>
  <si>
    <t>H-21-44-H-21-46</t>
  </si>
  <si>
    <t>CO5</t>
  </si>
  <si>
    <t>99  SHORT ST</t>
  </si>
  <si>
    <t>G-13-04-H-13-01</t>
  </si>
  <si>
    <t>DO1</t>
  </si>
  <si>
    <t>G-13-01-G-13-02</t>
  </si>
  <si>
    <t xml:space="preserve"> OJAI TRAIL </t>
  </si>
  <si>
    <t>H-17-09-H-17-01</t>
  </si>
  <si>
    <t xml:space="preserve">  SULFUR MOUNTAIN RD</t>
  </si>
  <si>
    <t>Ductile Iron</t>
  </si>
  <si>
    <t>J-21-15-J-21-16</t>
  </si>
  <si>
    <t>DIP</t>
  </si>
  <si>
    <t>10300  CREEK RD</t>
  </si>
  <si>
    <t>J-21-16-J-20-01</t>
  </si>
  <si>
    <t>K-22-12-K-22-13</t>
  </si>
  <si>
    <t>10660 Creek Rd</t>
  </si>
  <si>
    <t>ACP</t>
  </si>
  <si>
    <t>S-30-15-S-30-16</t>
  </si>
  <si>
    <t>AO1</t>
  </si>
  <si>
    <t>1002 E Ojai Ave</t>
  </si>
  <si>
    <t>S-30-11-S-30-12</t>
  </si>
  <si>
    <t>1180 E Ojai Ave</t>
  </si>
  <si>
    <t>S-30-12-S-30-13</t>
  </si>
  <si>
    <t>S-30-13-S-30-15</t>
  </si>
  <si>
    <t>S-30-07-S-30-11</t>
  </si>
  <si>
    <t>1202 E Ojai Ave</t>
  </si>
  <si>
    <t>Dekker Property</t>
  </si>
  <si>
    <t>H-25-01-H-25-02</t>
  </si>
  <si>
    <t>BO4</t>
  </si>
  <si>
    <t>578  BURNHAM RD</t>
  </si>
  <si>
    <t>Pipe:</t>
  </si>
  <si>
    <t>H-25-02-H-25-04</t>
  </si>
  <si>
    <t>2430  BURNHAM RD</t>
  </si>
  <si>
    <t>New MHs:</t>
  </si>
  <si>
    <t>H-25-04-H-25-06</t>
  </si>
  <si>
    <t>2455  BURNHAM RD</t>
  </si>
  <si>
    <t>Embankment Repair:</t>
  </si>
  <si>
    <t>H-25-06-H-25-07</t>
  </si>
  <si>
    <t>H-26-03-H-26-04</t>
  </si>
  <si>
    <t>410  OLD BALDWIN RD</t>
  </si>
  <si>
    <t>H-26-04-H-26-05</t>
  </si>
  <si>
    <t>2027  BURNHAM RD</t>
  </si>
  <si>
    <t>H-26-05-H-26-06</t>
  </si>
  <si>
    <t>H-26-06-H-25-01</t>
  </si>
  <si>
    <t>TOTAL Cost to CIPP Minus Techite, ACP</t>
  </si>
  <si>
    <t>Techite is a separate project</t>
  </si>
  <si>
    <t>ACP is Dekker (Former MO trunk relocation) and Old Creek Road Rehab</t>
  </si>
  <si>
    <t>Higher cost than typical because non-consecutive pipe segments, near Caltrans, etc.</t>
  </si>
  <si>
    <t>Collectors</t>
  </si>
  <si>
    <t>Trunks</t>
  </si>
  <si>
    <t>Cast Iron and Ductile Iron Pipe Rehabilitation-Trunk</t>
  </si>
  <si>
    <t>Very Poor
Broken or deformed pipe, Root balls, High I&amp;I, ACP/CIP/DIP</t>
  </si>
  <si>
    <t>Poor
Tuberculated pipe</t>
  </si>
  <si>
    <t>Cover Sheet</t>
  </si>
  <si>
    <t>Conceptual Design</t>
  </si>
  <si>
    <t>Final Design</t>
  </si>
  <si>
    <t>Construction inc CM, Insp</t>
  </si>
  <si>
    <t>+20% Caltrans</t>
  </si>
  <si>
    <t>Barbara St. O&amp;M Improvements</t>
  </si>
  <si>
    <t>Description - Barbara Street O&amp;M Improvements</t>
  </si>
  <si>
    <t>Private property-potentially VC or CT</t>
  </si>
  <si>
    <t>Small complex design @15% -- Note complex property owner coordination + evalation of adjacent buildings</t>
  </si>
  <si>
    <t>Anticipate need for arborist report ($10k + $10k over time)</t>
  </si>
  <si>
    <t>Poor
Fractures
Mod-Tap roots
Some I&amp;I</t>
  </si>
  <si>
    <t>Fair
Cracks
Light roots
Light I&amp;I</t>
  </si>
  <si>
    <t>Cast Iron and Ductile Iron Pipe Rehabilitation-Collectors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</si>
</sst>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72"/>
      <name val="Aptos Narrow"/>
      <family val="2"/>
      <scheme val="minor"/>
    </font>
    <font>
      <sz val="11"/>
      <color indexed="64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3"/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quotePrefix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2" applyNumberFormat="1" applyFont="1" applyFill="1" applyBorder="1"/>
    <xf numFmtId="164" fontId="0" fillId="3" borderId="5" xfId="2" applyNumberFormat="1" applyFont="1" applyFill="1" applyBorder="1"/>
    <xf numFmtId="38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3" borderId="4" xfId="2" applyNumberFormat="1" applyFont="1" applyFill="1" applyBorder="1"/>
    <xf numFmtId="8" fontId="0" fillId="0" borderId="0" xfId="0" applyNumberFormat="1" applyAlignment="1">
      <alignment horizontal="left" vertical="center"/>
    </xf>
    <xf numFmtId="6" fontId="0" fillId="2" borderId="0" xfId="0" applyNumberFormat="1" applyFill="1" applyAlignment="1">
      <alignment horizontal="left" vertical="center"/>
    </xf>
    <xf numFmtId="164" fontId="0" fillId="0" borderId="4" xfId="2" applyNumberFormat="1" applyFont="1" applyBorder="1"/>
    <xf numFmtId="38" fontId="0" fillId="2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2" applyNumberFormat="1" applyFont="1" applyBorder="1"/>
    <xf numFmtId="164" fontId="0" fillId="3" borderId="6" xfId="2" applyNumberFormat="1" applyFont="1" applyFill="1" applyBorder="1"/>
    <xf numFmtId="164" fontId="0" fillId="0" borderId="6" xfId="2" applyNumberFormat="1" applyFont="1" applyFill="1" applyBorder="1"/>
    <xf numFmtId="0" fontId="0" fillId="0" borderId="7" xfId="0" applyBorder="1"/>
    <xf numFmtId="164" fontId="0" fillId="0" borderId="7" xfId="2" applyNumberFormat="1" applyFont="1" applyBorder="1"/>
    <xf numFmtId="164" fontId="0" fillId="3" borderId="7" xfId="2" applyNumberFormat="1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2" applyNumberFormat="1" applyFont="1" applyFill="1" applyBorder="1"/>
    <xf numFmtId="164" fontId="0" fillId="3" borderId="8" xfId="2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right" indent="1"/>
    </xf>
    <xf numFmtId="164" fontId="0" fillId="0" borderId="9" xfId="0" applyNumberFormat="1" applyBorder="1"/>
    <xf numFmtId="164" fontId="0" fillId="0" borderId="0" xfId="0" applyNumberFormat="1"/>
    <xf numFmtId="6" fontId="0" fillId="0" borderId="0" xfId="0" applyNumberFormat="1" applyAlignment="1">
      <alignment horizontal="left" vertical="center"/>
    </xf>
    <xf numFmtId="0" fontId="0" fillId="0" borderId="10" xfId="0" applyBorder="1" applyAlignment="1">
      <alignment vertical="center" wrapText="1"/>
    </xf>
    <xf numFmtId="43" fontId="0" fillId="0" borderId="0" xfId="1" applyFont="1" applyAlignment="1">
      <alignment horizontal="left" vertical="center"/>
    </xf>
    <xf numFmtId="2" fontId="0" fillId="0" borderId="8" xfId="0" applyNumberFormat="1" applyBorder="1" applyAlignment="1">
      <alignment horizontal="center"/>
    </xf>
    <xf numFmtId="164" fontId="0" fillId="0" borderId="8" xfId="2" applyNumberFormat="1" applyFont="1" applyBorder="1"/>
    <xf numFmtId="0" fontId="0" fillId="0" borderId="11" xfId="0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164" fontId="0" fillId="0" borderId="12" xfId="2" applyNumberFormat="1" applyFont="1" applyFill="1" applyBorder="1"/>
    <xf numFmtId="164" fontId="0" fillId="3" borderId="12" xfId="2" applyNumberFormat="1" applyFont="1" applyFill="1" applyBorder="1"/>
    <xf numFmtId="8" fontId="0" fillId="2" borderId="0" xfId="0" applyNumberFormat="1" applyFill="1" applyAlignment="1">
      <alignment horizontal="left" vertical="center"/>
    </xf>
    <xf numFmtId="0" fontId="0" fillId="3" borderId="6" xfId="0" applyFill="1" applyBorder="1"/>
    <xf numFmtId="0" fontId="0" fillId="2" borderId="0" xfId="0" applyFill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 wrapText="1"/>
    </xf>
    <xf numFmtId="0" fontId="10" fillId="4" borderId="1" xfId="3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center" vertical="center"/>
    </xf>
    <xf numFmtId="165" fontId="0" fillId="6" borderId="2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165" fontId="0" fillId="8" borderId="2" xfId="0" applyNumberFormat="1" applyFill="1" applyBorder="1" applyAlignment="1">
      <alignment horizontal="center" vertical="center"/>
    </xf>
    <xf numFmtId="165" fontId="0" fillId="9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1" fillId="0" borderId="0" xfId="1" applyFont="1"/>
    <xf numFmtId="0" fontId="1" fillId="0" borderId="0" xfId="0" applyFont="1" applyAlignment="1">
      <alignment horizontal="left" vertical="center"/>
    </xf>
    <xf numFmtId="43" fontId="3" fillId="0" borderId="0" xfId="1" applyFont="1"/>
    <xf numFmtId="166" fontId="3" fillId="0" borderId="0" xfId="1" applyNumberFormat="1" applyFont="1"/>
    <xf numFmtId="8" fontId="1" fillId="0" borderId="0" xfId="1" applyNumberFormat="1" applyFont="1"/>
    <xf numFmtId="43" fontId="12" fillId="0" borderId="1" xfId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43" fontId="13" fillId="0" borderId="1" xfId="1" applyFont="1" applyBorder="1" applyAlignment="1">
      <alignment horizontal="left" vertical="center"/>
    </xf>
    <xf numFmtId="166" fontId="13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/>
    </xf>
    <xf numFmtId="6" fontId="1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left" vertical="center"/>
    </xf>
    <xf numFmtId="8" fontId="1" fillId="0" borderId="0" xfId="0" applyNumberFormat="1" applyFont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43" fontId="14" fillId="0" borderId="0" xfId="1" applyFont="1"/>
    <xf numFmtId="43" fontId="11" fillId="0" borderId="0" xfId="1" applyFont="1" applyFill="1" applyBorder="1" applyAlignment="1">
      <alignment horizontal="left" vertical="center"/>
    </xf>
    <xf numFmtId="43" fontId="13" fillId="0" borderId="1" xfId="1" applyFont="1" applyFill="1" applyBorder="1" applyAlignment="1">
      <alignment horizontal="left" vertical="center"/>
    </xf>
    <xf numFmtId="6" fontId="11" fillId="0" borderId="0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left" vertical="center"/>
    </xf>
    <xf numFmtId="43" fontId="1" fillId="0" borderId="0" xfId="0" applyNumberFormat="1" applyFont="1" applyAlignment="1">
      <alignment horizontal="left" vertical="center"/>
    </xf>
    <xf numFmtId="0" fontId="0" fillId="0" borderId="10" xfId="0" quotePrefix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5">
    <dxf>
      <font>
        <color theme="0"/>
      </font>
      <fill>
        <patternFill patternType="none">
          <bgColor auto="1"/>
        </patternFill>
      </fill>
    </dxf>
    <dxf>
      <fill>
        <patternFill>
          <bgColor rgb="FFFF5050"/>
        </patternFill>
      </fill>
    </dxf>
    <dxf>
      <fill>
        <patternFill>
          <bgColor rgb="FFFF9966"/>
        </patternFill>
      </fill>
    </dxf>
    <dxf>
      <fill>
        <patternFill>
          <bgColor rgb="FFFFFF66"/>
        </patternFill>
      </fill>
    </dxf>
    <dxf>
      <fill>
        <patternFill>
          <bgColor rgb="FF33CC33"/>
        </patternFill>
      </fill>
    </dxf>
  </dxfs>
  <tableStyles count="0" defaultTableStyle="TableStyleMedium2" defaultPivotStyle="PivotStyleLight16"/>
  <colors>
    <mruColors>
      <color rgb="FF33CC33"/>
      <color rgb="FF00CC00"/>
      <color rgb="FFFFFF66"/>
      <color rgb="FFFF9966"/>
      <color rgb="FFFF5050"/>
      <color rgb="FFCCFFCC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F3FE-2BFC-48DF-B8BA-A67EF408FB14}">
  <dimension ref="B1:AH95"/>
  <sheetViews>
    <sheetView tabSelected="1" topLeftCell="A32" zoomScaleNormal="100" workbookViewId="0">
      <selection activeCell="C36" sqref="C36"/>
    </sheetView>
  </sheetViews>
  <sheetFormatPr defaultRowHeight="15" x14ac:dyDescent="0.25"/>
  <cols>
    <col min="2" max="2" width="16.85546875" style="56" customWidth="1"/>
    <col min="3" max="3" width="66.28515625" style="3" customWidth="1"/>
    <col min="4" max="4" width="14" style="42" bestFit="1" customWidth="1"/>
    <col min="5" max="5" width="13.85546875" style="42" customWidth="1"/>
    <col min="6" max="10" width="17.28515625" style="42" customWidth="1"/>
    <col min="11" max="11" width="20.7109375" bestFit="1" customWidth="1"/>
    <col min="12" max="12" width="16.42578125" customWidth="1"/>
    <col min="13" max="13" width="7.7109375" customWidth="1"/>
    <col min="15" max="15" width="21.7109375" customWidth="1"/>
    <col min="16" max="19" width="20.7109375" customWidth="1"/>
    <col min="21" max="21" width="29.85546875" bestFit="1" customWidth="1"/>
    <col min="22" max="23" width="10.7109375" style="42" customWidth="1"/>
    <col min="24" max="33" width="12.7109375" style="42" customWidth="1"/>
  </cols>
  <sheetData>
    <row r="1" spans="5:10" x14ac:dyDescent="0.25">
      <c r="E1" s="41" t="s">
        <v>131</v>
      </c>
      <c r="F1" s="41"/>
      <c r="G1" s="41"/>
      <c r="H1" s="41"/>
      <c r="I1" s="41"/>
      <c r="J1" s="41"/>
    </row>
    <row r="2" spans="5:10" x14ac:dyDescent="0.25">
      <c r="E2" s="41"/>
      <c r="F2" s="42" t="s">
        <v>132</v>
      </c>
      <c r="G2" s="42" t="s">
        <v>133</v>
      </c>
      <c r="H2" s="42" t="s">
        <v>134</v>
      </c>
      <c r="I2" s="42" t="s">
        <v>135</v>
      </c>
      <c r="J2" s="42" t="s">
        <v>130</v>
      </c>
    </row>
    <row r="3" spans="5:10" x14ac:dyDescent="0.25">
      <c r="E3" s="41"/>
      <c r="F3" s="42">
        <v>20</v>
      </c>
      <c r="G3" s="42">
        <v>15</v>
      </c>
      <c r="H3" s="42">
        <v>10</v>
      </c>
      <c r="I3" s="42">
        <v>5</v>
      </c>
      <c r="J3" s="42">
        <v>0</v>
      </c>
    </row>
    <row r="4" spans="5:10" x14ac:dyDescent="0.25">
      <c r="E4" s="41"/>
    </row>
    <row r="5" spans="5:10" x14ac:dyDescent="0.25">
      <c r="E5" s="41" t="s">
        <v>127</v>
      </c>
      <c r="F5" s="41"/>
      <c r="G5" s="41"/>
      <c r="H5" s="41"/>
      <c r="I5" s="41"/>
      <c r="J5" s="41"/>
    </row>
    <row r="6" spans="5:10" ht="60" x14ac:dyDescent="0.25">
      <c r="E6" s="41"/>
      <c r="F6" s="43" t="s">
        <v>160</v>
      </c>
      <c r="G6" s="43" t="s">
        <v>163</v>
      </c>
      <c r="H6" s="43" t="s">
        <v>162</v>
      </c>
      <c r="I6" s="43" t="s">
        <v>161</v>
      </c>
      <c r="J6" s="42" t="s">
        <v>53</v>
      </c>
    </row>
    <row r="7" spans="5:10" x14ac:dyDescent="0.25">
      <c r="E7" s="41"/>
      <c r="F7" s="42">
        <v>20</v>
      </c>
      <c r="G7" s="42">
        <v>15</v>
      </c>
      <c r="H7" s="42">
        <v>10</v>
      </c>
      <c r="I7" s="42">
        <v>5</v>
      </c>
      <c r="J7" s="42">
        <v>0</v>
      </c>
    </row>
    <row r="8" spans="5:10" x14ac:dyDescent="0.25">
      <c r="E8" s="41"/>
    </row>
    <row r="9" spans="5:10" x14ac:dyDescent="0.25">
      <c r="E9" s="41" t="s">
        <v>164</v>
      </c>
      <c r="F9" s="41"/>
      <c r="G9" s="41"/>
      <c r="H9" s="41"/>
      <c r="I9" s="41"/>
      <c r="J9" s="41"/>
    </row>
    <row r="10" spans="5:10" ht="60" x14ac:dyDescent="0.25">
      <c r="E10" s="41"/>
      <c r="F10" s="43" t="s">
        <v>167</v>
      </c>
      <c r="G10" s="43" t="s">
        <v>403</v>
      </c>
      <c r="H10" s="42" t="s">
        <v>126</v>
      </c>
      <c r="I10" s="42" t="s">
        <v>124</v>
      </c>
      <c r="J10" s="43" t="s">
        <v>168</v>
      </c>
    </row>
    <row r="11" spans="5:10" x14ac:dyDescent="0.25">
      <c r="E11" s="41"/>
      <c r="F11" s="42">
        <v>20</v>
      </c>
      <c r="G11" s="42">
        <v>15</v>
      </c>
      <c r="H11" s="42">
        <v>10</v>
      </c>
      <c r="I11" s="42">
        <v>5</v>
      </c>
      <c r="J11" s="42">
        <v>0</v>
      </c>
    </row>
    <row r="12" spans="5:10" x14ac:dyDescent="0.25">
      <c r="E12" s="41"/>
    </row>
    <row r="13" spans="5:10" x14ac:dyDescent="0.25">
      <c r="E13" s="41" t="s">
        <v>123</v>
      </c>
      <c r="F13" s="41"/>
      <c r="G13" s="41"/>
      <c r="H13" s="41"/>
      <c r="I13" s="41"/>
      <c r="J13" s="41"/>
    </row>
    <row r="14" spans="5:10" ht="75" x14ac:dyDescent="0.25">
      <c r="E14" s="41"/>
      <c r="F14" s="43" t="s">
        <v>402</v>
      </c>
      <c r="G14" s="43" t="s">
        <v>414</v>
      </c>
      <c r="H14" s="43" t="s">
        <v>415</v>
      </c>
      <c r="I14" s="43" t="s">
        <v>165</v>
      </c>
      <c r="J14" s="42" t="s">
        <v>125</v>
      </c>
    </row>
    <row r="15" spans="5:10" x14ac:dyDescent="0.25">
      <c r="E15" s="41"/>
      <c r="F15" s="42">
        <v>20</v>
      </c>
      <c r="G15" s="42">
        <v>15</v>
      </c>
      <c r="H15" s="42">
        <v>10</v>
      </c>
      <c r="I15" s="42">
        <v>5</v>
      </c>
      <c r="J15" s="42">
        <v>0</v>
      </c>
    </row>
    <row r="16" spans="5:10" x14ac:dyDescent="0.25">
      <c r="E16" s="41"/>
    </row>
    <row r="17" spans="5:10" x14ac:dyDescent="0.25">
      <c r="E17" s="41" t="s">
        <v>137</v>
      </c>
      <c r="F17" s="41"/>
      <c r="G17" s="41"/>
      <c r="H17" s="41"/>
      <c r="I17" s="41"/>
      <c r="J17" s="41"/>
    </row>
    <row r="18" spans="5:10" x14ac:dyDescent="0.25">
      <c r="E18" s="41"/>
      <c r="F18" s="42" t="s">
        <v>138</v>
      </c>
      <c r="G18" s="42" t="s">
        <v>139</v>
      </c>
      <c r="H18" s="42" t="s">
        <v>140</v>
      </c>
      <c r="I18" s="42" t="s">
        <v>141</v>
      </c>
      <c r="J18" s="42" t="s">
        <v>142</v>
      </c>
    </row>
    <row r="19" spans="5:10" x14ac:dyDescent="0.25">
      <c r="E19" s="41"/>
      <c r="F19" s="42">
        <v>20</v>
      </c>
      <c r="G19" s="42">
        <v>15</v>
      </c>
      <c r="H19" s="42">
        <v>10</v>
      </c>
      <c r="I19" s="42">
        <v>5</v>
      </c>
      <c r="J19" s="42">
        <v>0</v>
      </c>
    </row>
    <row r="20" spans="5:10" x14ac:dyDescent="0.25">
      <c r="E20"/>
    </row>
    <row r="21" spans="5:10" x14ac:dyDescent="0.25">
      <c r="E21" s="41" t="s">
        <v>155</v>
      </c>
      <c r="F21" s="41"/>
      <c r="G21" s="41"/>
      <c r="H21" s="41"/>
      <c r="I21" s="41"/>
      <c r="J21" s="41"/>
    </row>
    <row r="22" spans="5:10" x14ac:dyDescent="0.25">
      <c r="E22" s="41"/>
      <c r="F22" s="42" t="s">
        <v>156</v>
      </c>
      <c r="G22" s="42" t="s">
        <v>157</v>
      </c>
      <c r="H22" s="42" t="s">
        <v>158</v>
      </c>
      <c r="I22" s="42" t="s">
        <v>166</v>
      </c>
      <c r="J22" s="42" t="s">
        <v>159</v>
      </c>
    </row>
    <row r="23" spans="5:10" x14ac:dyDescent="0.25">
      <c r="E23" s="41"/>
      <c r="F23" s="42">
        <v>20</v>
      </c>
      <c r="G23" s="42">
        <v>15</v>
      </c>
      <c r="H23" s="42">
        <v>10</v>
      </c>
      <c r="I23" s="42">
        <v>5</v>
      </c>
      <c r="J23" s="42">
        <v>0</v>
      </c>
    </row>
    <row r="24" spans="5:10" x14ac:dyDescent="0.25">
      <c r="E24"/>
      <c r="F24"/>
      <c r="G24"/>
      <c r="H24"/>
      <c r="I24"/>
      <c r="J24"/>
    </row>
    <row r="25" spans="5:10" x14ac:dyDescent="0.25">
      <c r="E25" s="41" t="s">
        <v>143</v>
      </c>
      <c r="F25" s="41"/>
      <c r="G25" s="41"/>
      <c r="H25" s="41"/>
      <c r="I25" s="41"/>
      <c r="J25" s="41"/>
    </row>
    <row r="26" spans="5:10" ht="30" x14ac:dyDescent="0.25">
      <c r="E26" s="41"/>
      <c r="F26" s="43" t="s">
        <v>144</v>
      </c>
      <c r="G26" s="43" t="s">
        <v>145</v>
      </c>
      <c r="H26" s="43" t="s">
        <v>146</v>
      </c>
      <c r="I26" s="43" t="s">
        <v>147</v>
      </c>
      <c r="J26" s="43" t="s">
        <v>148</v>
      </c>
    </row>
    <row r="27" spans="5:10" x14ac:dyDescent="0.25">
      <c r="E27" s="41"/>
      <c r="F27" s="42">
        <v>20</v>
      </c>
      <c r="G27" s="42">
        <v>15</v>
      </c>
      <c r="H27" s="42">
        <v>10</v>
      </c>
      <c r="I27" s="42">
        <v>5</v>
      </c>
      <c r="J27" s="42">
        <v>0</v>
      </c>
    </row>
    <row r="28" spans="5:10" x14ac:dyDescent="0.25">
      <c r="E28"/>
      <c r="F28"/>
      <c r="G28"/>
      <c r="H28"/>
      <c r="I28"/>
      <c r="J28"/>
    </row>
    <row r="29" spans="5:10" x14ac:dyDescent="0.25">
      <c r="E29" s="41" t="s">
        <v>120</v>
      </c>
      <c r="F29" s="41"/>
      <c r="G29" s="41"/>
      <c r="H29" s="41"/>
      <c r="I29" s="41"/>
      <c r="J29" s="41"/>
    </row>
    <row r="30" spans="5:10" x14ac:dyDescent="0.25">
      <c r="E30" s="41"/>
      <c r="F30" s="42" t="s">
        <v>122</v>
      </c>
      <c r="J30" s="42" t="s">
        <v>130</v>
      </c>
    </row>
    <row r="31" spans="5:10" x14ac:dyDescent="0.25">
      <c r="E31" s="41"/>
      <c r="F31" s="42">
        <v>20</v>
      </c>
      <c r="G31" s="42">
        <v>15</v>
      </c>
      <c r="H31" s="42">
        <v>10</v>
      </c>
      <c r="I31" s="42">
        <v>5</v>
      </c>
      <c r="J31" s="42">
        <v>0</v>
      </c>
    </row>
    <row r="32" spans="5:10" x14ac:dyDescent="0.25">
      <c r="E32" s="41"/>
    </row>
    <row r="33" spans="2:34" x14ac:dyDescent="0.25">
      <c r="E33" s="41" t="s">
        <v>121</v>
      </c>
      <c r="F33" s="41"/>
      <c r="G33" s="41"/>
      <c r="H33" s="41"/>
      <c r="I33" s="41"/>
      <c r="J33" s="41"/>
    </row>
    <row r="34" spans="2:34" x14ac:dyDescent="0.25">
      <c r="E34" s="41"/>
      <c r="F34" s="42" t="s">
        <v>128</v>
      </c>
      <c r="J34" s="42" t="s">
        <v>129</v>
      </c>
    </row>
    <row r="35" spans="2:34" x14ac:dyDescent="0.25">
      <c r="E35" s="41"/>
      <c r="F35" s="42">
        <v>20</v>
      </c>
      <c r="G35" s="42">
        <v>15</v>
      </c>
      <c r="H35" s="42">
        <v>10</v>
      </c>
      <c r="I35" s="42">
        <v>5</v>
      </c>
      <c r="J35" s="42">
        <v>0</v>
      </c>
    </row>
    <row r="38" spans="2:34" ht="45" x14ac:dyDescent="0.25">
      <c r="C38" s="116" t="s">
        <v>280</v>
      </c>
      <c r="D38" s="118" t="s">
        <v>263</v>
      </c>
      <c r="E38" s="66" t="s">
        <v>295</v>
      </c>
      <c r="F38" s="87" t="s">
        <v>131</v>
      </c>
      <c r="G38" s="74" t="s">
        <v>127</v>
      </c>
      <c r="H38" s="74" t="s">
        <v>164</v>
      </c>
      <c r="I38" s="74" t="s">
        <v>123</v>
      </c>
      <c r="J38" s="74" t="s">
        <v>137</v>
      </c>
      <c r="K38" s="74" t="s">
        <v>155</v>
      </c>
      <c r="L38" s="117" t="s">
        <v>270</v>
      </c>
      <c r="M38" s="43"/>
      <c r="V38"/>
      <c r="AH38" s="42"/>
    </row>
    <row r="39" spans="2:34" x14ac:dyDescent="0.25">
      <c r="C39" s="116"/>
      <c r="D39" s="118"/>
      <c r="E39" s="66" t="s">
        <v>293</v>
      </c>
      <c r="F39" s="84">
        <v>20</v>
      </c>
      <c r="G39" s="58">
        <v>20</v>
      </c>
      <c r="H39" s="58">
        <v>20</v>
      </c>
      <c r="I39" s="58">
        <v>20</v>
      </c>
      <c r="J39" s="58">
        <v>20</v>
      </c>
      <c r="K39" s="58">
        <v>20</v>
      </c>
      <c r="L39" s="117"/>
      <c r="M39" s="43"/>
      <c r="V39"/>
      <c r="Y39" s="43"/>
      <c r="Z39" s="43"/>
      <c r="AA39" s="43"/>
      <c r="AB39" s="43"/>
      <c r="AC39" s="43"/>
      <c r="AD39" s="43"/>
      <c r="AE39" s="43"/>
      <c r="AF39" s="43"/>
      <c r="AG39" s="43"/>
      <c r="AH39" s="43"/>
    </row>
    <row r="40" spans="2:34" x14ac:dyDescent="0.25">
      <c r="C40" s="116"/>
      <c r="D40" s="118"/>
      <c r="E40" s="42" t="s">
        <v>294</v>
      </c>
      <c r="F40" s="75">
        <v>0.3</v>
      </c>
      <c r="G40" s="75">
        <v>0.3</v>
      </c>
      <c r="H40" s="75">
        <v>0.15</v>
      </c>
      <c r="I40" s="75">
        <v>0.15</v>
      </c>
      <c r="J40" s="75">
        <v>0.05</v>
      </c>
      <c r="K40" s="75">
        <v>0.05</v>
      </c>
      <c r="L40" s="117"/>
      <c r="M40" s="43"/>
      <c r="N40" s="41"/>
      <c r="V40" s="41"/>
      <c r="X40" s="45"/>
      <c r="AH40" s="42"/>
    </row>
    <row r="41" spans="2:34" x14ac:dyDescent="0.25">
      <c r="B41" s="119" t="s">
        <v>274</v>
      </c>
      <c r="C41" s="65" t="s">
        <v>271</v>
      </c>
      <c r="D41" s="76">
        <v>150000</v>
      </c>
      <c r="E41" s="85"/>
      <c r="F41" s="84">
        <v>20</v>
      </c>
      <c r="G41" s="58">
        <v>20</v>
      </c>
      <c r="H41" s="58">
        <v>10</v>
      </c>
      <c r="I41" s="58">
        <v>20</v>
      </c>
      <c r="J41" s="58">
        <v>15</v>
      </c>
      <c r="K41" s="58">
        <v>5</v>
      </c>
      <c r="L41" s="59">
        <f>100*(((F41/$F$39)*$F$40)+((G41/$G$39)*$G$40)+((H41/$H$39)*$H$40)+((I41/$I$39)*$I$40)+((J41/$J$39)*$J$40)+((K41/$K$39)*$K$40))</f>
        <v>87.499999999999986</v>
      </c>
      <c r="M41" s="46"/>
      <c r="N41" s="42"/>
      <c r="V41" s="41"/>
      <c r="X41" s="45"/>
      <c r="AH41" s="42"/>
    </row>
    <row r="42" spans="2:34" x14ac:dyDescent="0.25">
      <c r="B42" s="119"/>
      <c r="C42" s="57" t="s">
        <v>272</v>
      </c>
      <c r="D42" s="76">
        <v>2500000</v>
      </c>
      <c r="E42" s="85"/>
      <c r="F42" s="84">
        <v>20</v>
      </c>
      <c r="G42" s="58">
        <v>20</v>
      </c>
      <c r="H42" s="58">
        <v>10</v>
      </c>
      <c r="I42" s="58">
        <v>20</v>
      </c>
      <c r="J42" s="58">
        <v>15</v>
      </c>
      <c r="K42" s="58">
        <v>5</v>
      </c>
      <c r="L42" s="59">
        <f t="shared" ref="L42:L77" si="0">100*(((F42/$F$39)*$F$40)+((G42/$G$39)*$G$40)+((H42/$H$39)*$H$40)+((I42/$I$39)*$I$40)+((J42/$J$39)*$J$40)+((K42/$K$39)*$K$40))</f>
        <v>87.499999999999986</v>
      </c>
      <c r="M42" s="46"/>
      <c r="N42" s="45"/>
      <c r="V42" s="41"/>
      <c r="X42" s="45"/>
      <c r="AH42" s="42"/>
    </row>
    <row r="43" spans="2:34" x14ac:dyDescent="0.25">
      <c r="B43" s="119"/>
      <c r="C43" s="69" t="s">
        <v>136</v>
      </c>
      <c r="D43" s="76">
        <f>Techite!$C$21</f>
        <v>560000</v>
      </c>
      <c r="E43" s="85"/>
      <c r="F43" s="84">
        <v>18</v>
      </c>
      <c r="G43" s="58">
        <v>20</v>
      </c>
      <c r="H43" s="58">
        <v>10</v>
      </c>
      <c r="I43" s="58">
        <v>15</v>
      </c>
      <c r="J43" s="58">
        <v>20</v>
      </c>
      <c r="K43" s="58">
        <v>15</v>
      </c>
      <c r="L43" s="59">
        <f t="shared" si="0"/>
        <v>84.500000000000014</v>
      </c>
      <c r="M43" s="46"/>
      <c r="N43" s="42"/>
      <c r="V43" s="41"/>
      <c r="X43" s="45"/>
      <c r="AH43" s="42"/>
    </row>
    <row r="44" spans="2:34" x14ac:dyDescent="0.25">
      <c r="B44" s="119"/>
      <c r="C44" s="68" t="s">
        <v>152</v>
      </c>
      <c r="D44" s="76">
        <f>'OCR Rehab'!$C$21</f>
        <v>1240000</v>
      </c>
      <c r="E44" s="85"/>
      <c r="F44" s="84">
        <v>12</v>
      </c>
      <c r="G44" s="58">
        <v>20</v>
      </c>
      <c r="H44" s="58">
        <v>5</v>
      </c>
      <c r="I44" s="58">
        <v>15</v>
      </c>
      <c r="J44" s="58">
        <v>15</v>
      </c>
      <c r="K44" s="58">
        <v>10</v>
      </c>
      <c r="L44" s="59">
        <f t="shared" si="0"/>
        <v>69.249999999999986</v>
      </c>
      <c r="M44" s="46"/>
      <c r="N44" s="42"/>
      <c r="V44" s="41"/>
      <c r="X44" s="45"/>
      <c r="AH44" s="42"/>
    </row>
    <row r="45" spans="2:34" x14ac:dyDescent="0.25">
      <c r="B45" s="119"/>
      <c r="C45" s="68" t="s">
        <v>153</v>
      </c>
      <c r="D45" s="76">
        <f>'Ojai ACP Rehab'!$C$21</f>
        <v>530000</v>
      </c>
      <c r="E45" s="85"/>
      <c r="F45" s="84">
        <v>15</v>
      </c>
      <c r="G45" s="58">
        <v>20</v>
      </c>
      <c r="H45" s="58">
        <v>5</v>
      </c>
      <c r="I45" s="58">
        <v>15</v>
      </c>
      <c r="J45" s="58">
        <v>15</v>
      </c>
      <c r="K45" s="58">
        <v>10</v>
      </c>
      <c r="L45" s="59">
        <f t="shared" si="0"/>
        <v>73.749999999999986</v>
      </c>
      <c r="M45" s="46"/>
      <c r="N45" s="42"/>
      <c r="V45" s="41"/>
      <c r="X45" s="45"/>
      <c r="AH45" s="42"/>
    </row>
    <row r="46" spans="2:34" x14ac:dyDescent="0.25">
      <c r="B46" s="119"/>
      <c r="C46" s="68" t="s">
        <v>266</v>
      </c>
      <c r="D46" s="77">
        <f>Prospect!$C$23</f>
        <v>820000</v>
      </c>
      <c r="E46" s="86"/>
      <c r="F46" s="84">
        <v>5</v>
      </c>
      <c r="G46" s="58">
        <v>20</v>
      </c>
      <c r="H46" s="58">
        <v>15</v>
      </c>
      <c r="I46" s="58">
        <v>15</v>
      </c>
      <c r="J46" s="58">
        <v>5</v>
      </c>
      <c r="K46" s="58">
        <v>5</v>
      </c>
      <c r="L46" s="59">
        <f t="shared" si="0"/>
        <v>62.499999999999986</v>
      </c>
      <c r="M46" s="46"/>
      <c r="N46" s="42"/>
      <c r="V46" s="41"/>
      <c r="X46" s="44"/>
      <c r="Y46" s="46"/>
      <c r="Z46" s="46"/>
      <c r="AA46" s="46"/>
      <c r="AB46" s="46"/>
      <c r="AC46" s="46"/>
      <c r="AD46" s="46"/>
      <c r="AE46" s="46"/>
      <c r="AF46" s="46"/>
      <c r="AG46" s="46"/>
      <c r="AH46" s="46"/>
    </row>
    <row r="47" spans="2:34" x14ac:dyDescent="0.25">
      <c r="B47" s="119"/>
      <c r="C47" s="68" t="s">
        <v>267</v>
      </c>
      <c r="D47" s="77">
        <f>'Foster Park'!$C$22</f>
        <v>5060000</v>
      </c>
      <c r="E47" s="86"/>
      <c r="F47" s="84">
        <v>10</v>
      </c>
      <c r="G47" s="58">
        <v>20</v>
      </c>
      <c r="H47" s="58">
        <v>10</v>
      </c>
      <c r="I47" s="58">
        <v>10</v>
      </c>
      <c r="J47" s="58">
        <v>5</v>
      </c>
      <c r="K47" s="58">
        <v>0</v>
      </c>
      <c r="L47" s="59">
        <f t="shared" si="0"/>
        <v>61.249999999999986</v>
      </c>
      <c r="M47" s="46"/>
      <c r="N47" s="42"/>
      <c r="V47"/>
      <c r="AH47" s="42"/>
    </row>
    <row r="48" spans="2:34" x14ac:dyDescent="0.25">
      <c r="B48" s="119"/>
      <c r="C48" s="68" t="s">
        <v>268</v>
      </c>
      <c r="D48" s="77">
        <f>'SAC Siphon'!$C$22</f>
        <v>2020000</v>
      </c>
      <c r="E48" s="86"/>
      <c r="F48" s="84">
        <v>10</v>
      </c>
      <c r="G48" s="58">
        <v>20</v>
      </c>
      <c r="H48" s="58">
        <v>10</v>
      </c>
      <c r="I48" s="58">
        <v>5</v>
      </c>
      <c r="J48" s="58">
        <v>5</v>
      </c>
      <c r="K48" s="58">
        <v>0</v>
      </c>
      <c r="L48" s="59">
        <f t="shared" si="0"/>
        <v>57.499999999999986</v>
      </c>
      <c r="M48" s="46"/>
      <c r="N48" s="42"/>
      <c r="V48"/>
      <c r="AH48" s="42"/>
    </row>
    <row r="49" spans="2:34" x14ac:dyDescent="0.25">
      <c r="B49" s="119"/>
      <c r="C49" s="68" t="s">
        <v>269</v>
      </c>
      <c r="D49" s="77">
        <f>'Creek Siphons'!$C$22</f>
        <v>5890000</v>
      </c>
      <c r="E49" s="86"/>
      <c r="F49" s="84">
        <v>10</v>
      </c>
      <c r="G49" s="58">
        <v>20</v>
      </c>
      <c r="H49" s="58">
        <v>10</v>
      </c>
      <c r="I49" s="58">
        <v>5</v>
      </c>
      <c r="J49" s="58">
        <v>5</v>
      </c>
      <c r="K49" s="58">
        <v>0</v>
      </c>
      <c r="L49" s="59">
        <f t="shared" si="0"/>
        <v>57.499999999999986</v>
      </c>
      <c r="M49" s="46"/>
      <c r="N49" s="42"/>
      <c r="V49"/>
      <c r="AH49" s="42"/>
    </row>
    <row r="50" spans="2:34" x14ac:dyDescent="0.25">
      <c r="B50" s="119"/>
      <c r="C50" s="68" t="s">
        <v>401</v>
      </c>
      <c r="D50" s="76">
        <f>'Cast and Ductile'!K24</f>
        <v>1175000</v>
      </c>
      <c r="E50" s="85"/>
      <c r="F50" s="84">
        <v>15</v>
      </c>
      <c r="G50" s="58">
        <v>20</v>
      </c>
      <c r="H50" s="58">
        <v>15</v>
      </c>
      <c r="I50" s="58">
        <v>20</v>
      </c>
      <c r="J50" s="58">
        <v>5</v>
      </c>
      <c r="K50" s="58">
        <v>5</v>
      </c>
      <c r="L50" s="59">
        <f t="shared" si="0"/>
        <v>81.249999999999986</v>
      </c>
      <c r="M50" s="46"/>
      <c r="N50" s="42"/>
      <c r="V50"/>
      <c r="AH50" s="42"/>
    </row>
    <row r="51" spans="2:34" x14ac:dyDescent="0.25">
      <c r="B51" s="119"/>
      <c r="C51" s="70" t="s">
        <v>279</v>
      </c>
      <c r="D51" s="76"/>
      <c r="E51" s="85"/>
      <c r="F51" s="84"/>
      <c r="G51" s="58"/>
      <c r="H51" s="58"/>
      <c r="I51" s="58"/>
      <c r="J51" s="58"/>
      <c r="K51" s="58"/>
      <c r="L51" s="59"/>
      <c r="M51" s="46"/>
      <c r="N51" s="42"/>
      <c r="V51"/>
      <c r="AH51" s="42"/>
    </row>
    <row r="52" spans="2:34" x14ac:dyDescent="0.25">
      <c r="B52" s="119"/>
      <c r="C52" s="57" t="s">
        <v>279</v>
      </c>
      <c r="D52" s="76"/>
      <c r="E52" s="85"/>
      <c r="F52" s="84"/>
      <c r="G52" s="58"/>
      <c r="H52" s="58"/>
      <c r="I52" s="58"/>
      <c r="J52" s="58"/>
      <c r="K52" s="58"/>
      <c r="L52" s="59">
        <f t="shared" si="0"/>
        <v>0</v>
      </c>
      <c r="M52" s="46"/>
      <c r="N52" s="42"/>
      <c r="V52"/>
      <c r="Y52" s="43"/>
      <c r="Z52" s="43"/>
      <c r="AA52" s="43"/>
      <c r="AB52" s="43"/>
      <c r="AC52" s="43"/>
      <c r="AD52" s="43"/>
      <c r="AE52" s="43"/>
      <c r="AF52" s="43"/>
      <c r="AG52" s="43"/>
      <c r="AH52" s="43"/>
    </row>
    <row r="53" spans="2:34" x14ac:dyDescent="0.25">
      <c r="B53" s="120" t="s">
        <v>273</v>
      </c>
      <c r="C53" s="73" t="s">
        <v>149</v>
      </c>
      <c r="D53" s="78">
        <f>'2026 PB-Rancho Only'!$C$22</f>
        <v>580000</v>
      </c>
      <c r="E53" s="85"/>
      <c r="F53" s="84">
        <v>20</v>
      </c>
      <c r="G53" s="58">
        <v>15</v>
      </c>
      <c r="H53" s="58">
        <v>15</v>
      </c>
      <c r="I53" s="58">
        <v>15</v>
      </c>
      <c r="J53" s="58">
        <v>20</v>
      </c>
      <c r="K53" s="58">
        <v>15</v>
      </c>
      <c r="L53" s="59">
        <f t="shared" si="0"/>
        <v>83.75</v>
      </c>
      <c r="M53" s="46"/>
      <c r="N53" s="42"/>
      <c r="V53" s="41"/>
      <c r="X53" s="45"/>
      <c r="AH53" s="42"/>
    </row>
    <row r="54" spans="2:34" x14ac:dyDescent="0.25">
      <c r="B54" s="120"/>
      <c r="C54" s="73" t="s">
        <v>150</v>
      </c>
      <c r="D54" s="78">
        <f>'2026 PB-Alto Only'!$C$22</f>
        <v>710000</v>
      </c>
      <c r="E54" s="85"/>
      <c r="F54" s="84">
        <v>20</v>
      </c>
      <c r="G54" s="58">
        <v>10</v>
      </c>
      <c r="H54" s="58">
        <v>10</v>
      </c>
      <c r="I54" s="58">
        <v>10</v>
      </c>
      <c r="J54" s="58">
        <v>15</v>
      </c>
      <c r="K54" s="58">
        <v>15</v>
      </c>
      <c r="L54" s="59">
        <f t="shared" si="0"/>
        <v>67.499999999999986</v>
      </c>
      <c r="M54" s="46"/>
      <c r="V54" s="41"/>
      <c r="X54" s="45"/>
      <c r="AH54" s="42"/>
    </row>
    <row r="55" spans="2:34" x14ac:dyDescent="0.25">
      <c r="B55" s="120"/>
      <c r="C55" s="71" t="s">
        <v>151</v>
      </c>
      <c r="D55" s="78">
        <f>'2026 PB-Feliz Only'!$C$22</f>
        <v>190000</v>
      </c>
      <c r="E55" s="85"/>
      <c r="F55" s="84">
        <v>15</v>
      </c>
      <c r="G55" s="58">
        <v>10</v>
      </c>
      <c r="H55" s="58">
        <v>15</v>
      </c>
      <c r="I55" s="58">
        <v>15</v>
      </c>
      <c r="J55" s="58">
        <v>15</v>
      </c>
      <c r="K55" s="58">
        <v>10</v>
      </c>
      <c r="L55" s="59">
        <f t="shared" si="0"/>
        <v>66.25</v>
      </c>
      <c r="M55" s="46"/>
      <c r="V55" s="48"/>
      <c r="X55" s="45"/>
      <c r="Y55" s="47"/>
      <c r="Z55" s="47"/>
      <c r="AA55" s="47"/>
      <c r="AB55" s="47"/>
      <c r="AC55" s="47"/>
      <c r="AD55" s="47"/>
      <c r="AE55" s="47"/>
      <c r="AF55" s="47"/>
      <c r="AG55" s="47"/>
      <c r="AH55" s="47"/>
    </row>
    <row r="56" spans="2:34" x14ac:dyDescent="0.25">
      <c r="B56" s="120"/>
      <c r="C56" s="71" t="s">
        <v>154</v>
      </c>
      <c r="D56" s="78">
        <f>'N.Vent Ave Improv.'!$C$23</f>
        <v>3150000</v>
      </c>
      <c r="E56" s="85"/>
      <c r="F56" s="84">
        <v>15</v>
      </c>
      <c r="G56" s="58">
        <v>20</v>
      </c>
      <c r="H56" s="58">
        <v>20</v>
      </c>
      <c r="I56" s="58">
        <v>10</v>
      </c>
      <c r="J56" s="58">
        <v>15</v>
      </c>
      <c r="K56" s="58">
        <v>5</v>
      </c>
      <c r="L56" s="59">
        <f t="shared" si="0"/>
        <v>79.999999999999986</v>
      </c>
      <c r="M56" s="46"/>
      <c r="V56" s="48"/>
      <c r="X56" s="45"/>
      <c r="Y56" s="47"/>
      <c r="Z56" s="47"/>
      <c r="AA56" s="47"/>
      <c r="AB56" s="47"/>
      <c r="AC56" s="47"/>
      <c r="AD56" s="47"/>
      <c r="AE56" s="47"/>
      <c r="AF56" s="47"/>
      <c r="AG56" s="47"/>
      <c r="AH56" s="47"/>
    </row>
    <row r="57" spans="2:34" x14ac:dyDescent="0.25">
      <c r="B57" s="120"/>
      <c r="C57" s="71" t="s">
        <v>409</v>
      </c>
      <c r="D57" s="78">
        <f>'Barbara St MHs'!$C$23</f>
        <v>210000</v>
      </c>
      <c r="E57" s="85"/>
      <c r="F57" s="84">
        <v>0</v>
      </c>
      <c r="G57" s="58">
        <v>15</v>
      </c>
      <c r="H57" s="58">
        <v>20</v>
      </c>
      <c r="I57" s="58">
        <v>10</v>
      </c>
      <c r="J57" s="58">
        <v>10</v>
      </c>
      <c r="K57" s="58">
        <v>10</v>
      </c>
      <c r="L57" s="59">
        <f t="shared" si="0"/>
        <v>50</v>
      </c>
      <c r="M57" s="46"/>
      <c r="V57" s="48"/>
      <c r="X57" s="45"/>
      <c r="Y57" s="47"/>
      <c r="Z57" s="47"/>
      <c r="AA57" s="47"/>
      <c r="AB57" s="47"/>
      <c r="AC57" s="47"/>
      <c r="AD57" s="47"/>
      <c r="AE57" s="47"/>
      <c r="AF57" s="47"/>
      <c r="AG57" s="47"/>
      <c r="AH57" s="47"/>
    </row>
    <row r="58" spans="2:34" x14ac:dyDescent="0.25">
      <c r="B58" s="120"/>
      <c r="C58" s="71" t="s">
        <v>170</v>
      </c>
      <c r="D58" s="78">
        <f>'Redwood Bursting'!$C$23</f>
        <v>400000</v>
      </c>
      <c r="E58" s="85"/>
      <c r="F58" s="84">
        <v>20</v>
      </c>
      <c r="G58" s="58">
        <v>10</v>
      </c>
      <c r="H58" s="58">
        <v>20</v>
      </c>
      <c r="I58" s="58">
        <v>20</v>
      </c>
      <c r="J58" s="58">
        <v>10</v>
      </c>
      <c r="K58" s="58">
        <v>0</v>
      </c>
      <c r="L58" s="59">
        <f t="shared" si="0"/>
        <v>77.5</v>
      </c>
      <c r="M58" s="46"/>
      <c r="V58" s="48"/>
      <c r="X58" s="45"/>
      <c r="Y58" s="47"/>
      <c r="Z58" s="47"/>
      <c r="AA58" s="47"/>
      <c r="AB58" s="47"/>
      <c r="AC58" s="47"/>
      <c r="AD58" s="47"/>
      <c r="AE58" s="47"/>
      <c r="AF58" s="47"/>
      <c r="AG58" s="47"/>
      <c r="AH58" s="47"/>
    </row>
    <row r="59" spans="2:34" x14ac:dyDescent="0.25">
      <c r="B59" s="120"/>
      <c r="C59" s="71" t="s">
        <v>264</v>
      </c>
      <c r="D59" s="79">
        <f>Lomita!$C$18</f>
        <v>330000</v>
      </c>
      <c r="E59" s="86"/>
      <c r="F59" s="84">
        <v>5</v>
      </c>
      <c r="G59" s="58">
        <v>15</v>
      </c>
      <c r="H59" s="58">
        <v>20</v>
      </c>
      <c r="I59" s="58">
        <v>10</v>
      </c>
      <c r="J59" s="58">
        <v>5</v>
      </c>
      <c r="K59" s="58">
        <v>10</v>
      </c>
      <c r="L59" s="59">
        <f t="shared" si="0"/>
        <v>56.249999999999986</v>
      </c>
      <c r="M59" s="46"/>
      <c r="V59" s="41"/>
      <c r="X59" s="44"/>
      <c r="Y59" s="46"/>
      <c r="Z59" s="46"/>
      <c r="AA59" s="46"/>
      <c r="AB59" s="46"/>
      <c r="AC59" s="46"/>
      <c r="AD59" s="46"/>
      <c r="AE59" s="46"/>
      <c r="AF59" s="46"/>
      <c r="AG59" s="46"/>
      <c r="AH59" s="46"/>
    </row>
    <row r="60" spans="2:34" x14ac:dyDescent="0.25">
      <c r="B60" s="120"/>
      <c r="C60" s="71" t="s">
        <v>265</v>
      </c>
      <c r="D60" s="79">
        <f>Pirie!$C$18</f>
        <v>360000</v>
      </c>
      <c r="E60" s="86"/>
      <c r="F60" s="84">
        <v>5</v>
      </c>
      <c r="G60" s="58">
        <v>10</v>
      </c>
      <c r="H60" s="58">
        <v>20</v>
      </c>
      <c r="I60" s="58">
        <v>10</v>
      </c>
      <c r="J60" s="58">
        <v>5</v>
      </c>
      <c r="K60" s="58">
        <v>10</v>
      </c>
      <c r="L60" s="59">
        <f t="shared" si="0"/>
        <v>48.750000000000007</v>
      </c>
      <c r="M60" s="46"/>
      <c r="V60"/>
      <c r="AH60" s="42"/>
    </row>
    <row r="61" spans="2:34" x14ac:dyDescent="0.25">
      <c r="B61" s="120"/>
      <c r="C61" s="72" t="s">
        <v>291</v>
      </c>
      <c r="D61" s="79">
        <v>17050000</v>
      </c>
      <c r="E61" s="86"/>
      <c r="F61" s="84">
        <v>20</v>
      </c>
      <c r="G61" s="58">
        <v>12</v>
      </c>
      <c r="H61" s="58">
        <v>18</v>
      </c>
      <c r="I61" s="58">
        <v>10</v>
      </c>
      <c r="J61" s="58">
        <v>5</v>
      </c>
      <c r="K61" s="58">
        <v>5</v>
      </c>
      <c r="L61" s="59">
        <f t="shared" si="0"/>
        <v>71.499999999999986</v>
      </c>
      <c r="M61" s="46"/>
      <c r="V61"/>
      <c r="AH61" s="42"/>
    </row>
    <row r="62" spans="2:34" x14ac:dyDescent="0.25">
      <c r="B62" s="120"/>
      <c r="C62" s="60" t="s">
        <v>292</v>
      </c>
      <c r="D62" s="79">
        <v>20880000</v>
      </c>
      <c r="E62" s="86"/>
      <c r="F62" s="84">
        <v>20</v>
      </c>
      <c r="G62" s="58">
        <v>12</v>
      </c>
      <c r="H62" s="58">
        <v>18</v>
      </c>
      <c r="I62" s="58">
        <v>10</v>
      </c>
      <c r="J62" s="58">
        <v>5</v>
      </c>
      <c r="K62" s="58">
        <v>5</v>
      </c>
      <c r="L62" s="59">
        <f t="shared" si="0"/>
        <v>71.499999999999986</v>
      </c>
      <c r="M62" s="46"/>
      <c r="V62"/>
      <c r="AH62" s="42"/>
    </row>
    <row r="63" spans="2:34" x14ac:dyDescent="0.25">
      <c r="B63" s="120"/>
      <c r="C63" s="71" t="s">
        <v>416</v>
      </c>
      <c r="D63" s="79">
        <f>'Cast and Ductile'!K23</f>
        <v>638000</v>
      </c>
      <c r="E63" s="86"/>
      <c r="F63" s="84">
        <v>15</v>
      </c>
      <c r="G63" s="58">
        <v>15</v>
      </c>
      <c r="H63" s="58">
        <v>15</v>
      </c>
      <c r="I63" s="58">
        <v>20</v>
      </c>
      <c r="J63" s="58">
        <v>5</v>
      </c>
      <c r="K63" s="58">
        <v>5</v>
      </c>
      <c r="L63" s="59">
        <f t="shared" si="0"/>
        <v>73.75</v>
      </c>
      <c r="M63" s="46"/>
      <c r="V63"/>
      <c r="AH63" s="42"/>
    </row>
    <row r="64" spans="2:34" x14ac:dyDescent="0.25">
      <c r="B64" s="120"/>
      <c r="C64" s="60" t="s">
        <v>279</v>
      </c>
      <c r="D64" s="79"/>
      <c r="E64" s="86"/>
      <c r="F64" s="84"/>
      <c r="G64" s="58"/>
      <c r="H64" s="58"/>
      <c r="I64" s="58"/>
      <c r="J64" s="58"/>
      <c r="K64" s="58"/>
      <c r="L64" s="59"/>
      <c r="M64" s="46"/>
      <c r="V64"/>
      <c r="AH64" s="42"/>
    </row>
    <row r="65" spans="2:34" x14ac:dyDescent="0.25">
      <c r="B65" s="120"/>
      <c r="C65" s="60" t="s">
        <v>279</v>
      </c>
      <c r="D65" s="79"/>
      <c r="E65" s="86"/>
      <c r="F65" s="84"/>
      <c r="G65" s="58"/>
      <c r="H65" s="58"/>
      <c r="I65" s="58"/>
      <c r="J65" s="58"/>
      <c r="K65" s="58"/>
      <c r="L65" s="59">
        <f t="shared" si="0"/>
        <v>0</v>
      </c>
      <c r="M65" s="46"/>
      <c r="V65"/>
      <c r="AH65" s="42"/>
    </row>
    <row r="66" spans="2:34" x14ac:dyDescent="0.25">
      <c r="B66" s="115" t="s">
        <v>275</v>
      </c>
      <c r="C66" s="61" t="s">
        <v>281</v>
      </c>
      <c r="D66" s="80">
        <v>820000</v>
      </c>
      <c r="E66" s="86"/>
      <c r="F66" s="84">
        <v>10</v>
      </c>
      <c r="G66" s="58">
        <v>20</v>
      </c>
      <c r="H66" s="58">
        <v>15</v>
      </c>
      <c r="I66" s="58">
        <v>10</v>
      </c>
      <c r="J66" s="58">
        <v>5</v>
      </c>
      <c r="K66" s="58">
        <v>15</v>
      </c>
      <c r="L66" s="59">
        <f t="shared" si="0"/>
        <v>68.749999999999986</v>
      </c>
      <c r="M66" s="46"/>
      <c r="V66"/>
      <c r="W66" s="41"/>
      <c r="X66" s="41"/>
      <c r="Y66" s="41"/>
      <c r="Z66" s="41"/>
      <c r="AA66" s="41"/>
      <c r="AB66" s="41"/>
      <c r="AH66" s="42"/>
    </row>
    <row r="67" spans="2:34" x14ac:dyDescent="0.25">
      <c r="B67" s="115"/>
      <c r="C67" s="61" t="s">
        <v>282</v>
      </c>
      <c r="D67" s="80">
        <v>150000</v>
      </c>
      <c r="E67" s="86"/>
      <c r="F67" s="84">
        <v>20</v>
      </c>
      <c r="G67" s="58">
        <v>20</v>
      </c>
      <c r="H67" s="58">
        <v>15</v>
      </c>
      <c r="I67" s="58">
        <v>10</v>
      </c>
      <c r="J67" s="58">
        <v>20</v>
      </c>
      <c r="K67" s="58">
        <v>20</v>
      </c>
      <c r="L67" s="59">
        <f t="shared" si="0"/>
        <v>88.75</v>
      </c>
      <c r="M67" s="46"/>
      <c r="V67"/>
      <c r="AH67" s="42"/>
    </row>
    <row r="68" spans="2:34" x14ac:dyDescent="0.25">
      <c r="B68" s="115"/>
      <c r="C68" s="61" t="s">
        <v>283</v>
      </c>
      <c r="D68" s="80">
        <v>25000</v>
      </c>
      <c r="E68" s="86"/>
      <c r="F68" s="84">
        <v>15</v>
      </c>
      <c r="G68" s="58">
        <v>20</v>
      </c>
      <c r="H68" s="58">
        <v>15</v>
      </c>
      <c r="I68" s="58">
        <v>10</v>
      </c>
      <c r="J68" s="58">
        <v>15</v>
      </c>
      <c r="K68" s="58">
        <v>20</v>
      </c>
      <c r="L68" s="59">
        <f t="shared" si="0"/>
        <v>80</v>
      </c>
      <c r="M68" s="46"/>
      <c r="V68"/>
      <c r="W68" s="45"/>
      <c r="X68" s="45"/>
      <c r="Y68" s="45"/>
      <c r="Z68" s="45"/>
      <c r="AA68" s="45"/>
      <c r="AB68" s="45"/>
      <c r="AH68" s="42"/>
    </row>
    <row r="69" spans="2:34" x14ac:dyDescent="0.25">
      <c r="B69" s="114" t="s">
        <v>276</v>
      </c>
      <c r="C69" s="62" t="s">
        <v>284</v>
      </c>
      <c r="D69" s="81">
        <v>138000</v>
      </c>
      <c r="E69" s="86"/>
      <c r="F69" s="84"/>
      <c r="G69" s="58"/>
      <c r="H69" s="58"/>
      <c r="I69" s="58"/>
      <c r="J69" s="58"/>
      <c r="K69" s="58"/>
      <c r="L69" s="59">
        <f t="shared" si="0"/>
        <v>0</v>
      </c>
      <c r="M69" s="46"/>
      <c r="V69" s="43"/>
      <c r="AH69" s="42"/>
    </row>
    <row r="70" spans="2:34" x14ac:dyDescent="0.25">
      <c r="B70" s="114"/>
      <c r="C70" s="62" t="s">
        <v>285</v>
      </c>
      <c r="D70" s="81">
        <v>354000</v>
      </c>
      <c r="E70" s="86"/>
      <c r="F70" s="84"/>
      <c r="G70" s="58"/>
      <c r="H70" s="58"/>
      <c r="I70" s="58"/>
      <c r="J70" s="58"/>
      <c r="K70" s="58"/>
      <c r="L70" s="59">
        <f t="shared" si="0"/>
        <v>0</v>
      </c>
      <c r="M70" s="46"/>
      <c r="V70" s="43"/>
      <c r="AH70" s="42"/>
    </row>
    <row r="71" spans="2:34" x14ac:dyDescent="0.25">
      <c r="B71" s="114"/>
      <c r="C71" s="62"/>
      <c r="D71" s="81"/>
      <c r="E71" s="86"/>
      <c r="F71" s="84"/>
      <c r="G71" s="58"/>
      <c r="H71" s="58"/>
      <c r="I71" s="58"/>
      <c r="J71" s="58"/>
      <c r="K71" s="58"/>
      <c r="L71" s="59">
        <f t="shared" si="0"/>
        <v>0</v>
      </c>
      <c r="M71" s="46"/>
      <c r="V71" s="43"/>
      <c r="AH71" s="42"/>
    </row>
    <row r="72" spans="2:34" x14ac:dyDescent="0.25">
      <c r="B72" s="112" t="s">
        <v>278</v>
      </c>
      <c r="C72" s="63" t="s">
        <v>286</v>
      </c>
      <c r="D72" s="82">
        <v>75000</v>
      </c>
      <c r="E72" s="86"/>
      <c r="F72" s="84"/>
      <c r="G72" s="58"/>
      <c r="H72" s="58"/>
      <c r="I72" s="58"/>
      <c r="J72" s="58"/>
      <c r="K72" s="58"/>
      <c r="L72" s="59">
        <f t="shared" si="0"/>
        <v>0</v>
      </c>
      <c r="M72" s="46"/>
      <c r="V72" s="43"/>
      <c r="AH72" s="42"/>
    </row>
    <row r="73" spans="2:34" x14ac:dyDescent="0.25">
      <c r="B73" s="112"/>
      <c r="C73" s="63" t="s">
        <v>287</v>
      </c>
      <c r="D73" s="82">
        <v>1000000</v>
      </c>
      <c r="E73" s="86"/>
      <c r="F73" s="84"/>
      <c r="G73" s="58"/>
      <c r="H73" s="58"/>
      <c r="I73" s="58"/>
      <c r="J73" s="58"/>
      <c r="K73" s="58"/>
      <c r="L73" s="59">
        <f t="shared" si="0"/>
        <v>0</v>
      </c>
      <c r="M73" s="46"/>
      <c r="V73" s="43"/>
      <c r="AH73" s="42"/>
    </row>
    <row r="74" spans="2:34" x14ac:dyDescent="0.25">
      <c r="B74" s="112"/>
      <c r="C74" s="63"/>
      <c r="D74" s="82"/>
      <c r="E74" s="86"/>
      <c r="F74" s="84"/>
      <c r="G74" s="58"/>
      <c r="H74" s="58"/>
      <c r="I74" s="58"/>
      <c r="J74" s="58"/>
      <c r="K74" s="58"/>
      <c r="L74" s="59">
        <f t="shared" si="0"/>
        <v>0</v>
      </c>
      <c r="M74" s="46"/>
      <c r="V74" s="43"/>
      <c r="AH74" s="42"/>
    </row>
    <row r="75" spans="2:34" x14ac:dyDescent="0.25">
      <c r="B75" s="113" t="s">
        <v>277</v>
      </c>
      <c r="C75" s="67" t="s">
        <v>288</v>
      </c>
      <c r="D75" s="83">
        <v>225000</v>
      </c>
      <c r="E75" s="86"/>
      <c r="F75" s="84"/>
      <c r="G75" s="58"/>
      <c r="H75" s="58"/>
      <c r="I75" s="58"/>
      <c r="J75" s="58"/>
      <c r="K75" s="58"/>
      <c r="L75" s="59">
        <f t="shared" si="0"/>
        <v>0</v>
      </c>
      <c r="M75" s="46"/>
      <c r="V75" s="43"/>
      <c r="AH75" s="42"/>
    </row>
    <row r="76" spans="2:34" x14ac:dyDescent="0.25">
      <c r="B76" s="113"/>
      <c r="C76" s="64" t="s">
        <v>289</v>
      </c>
      <c r="D76" s="83"/>
      <c r="E76" s="86"/>
      <c r="F76" s="84"/>
      <c r="G76" s="58"/>
      <c r="H76" s="58"/>
      <c r="I76" s="58"/>
      <c r="J76" s="58"/>
      <c r="K76" s="58"/>
      <c r="L76" s="59">
        <f t="shared" si="0"/>
        <v>0</v>
      </c>
      <c r="M76" s="46"/>
      <c r="V76" s="43"/>
      <c r="AH76" s="42"/>
    </row>
    <row r="77" spans="2:34" x14ac:dyDescent="0.25">
      <c r="B77" s="113"/>
      <c r="C77" s="64" t="s">
        <v>290</v>
      </c>
      <c r="D77" s="83"/>
      <c r="E77" s="86"/>
      <c r="F77" s="84"/>
      <c r="G77" s="58"/>
      <c r="H77" s="58"/>
      <c r="I77" s="58"/>
      <c r="J77" s="58"/>
      <c r="K77" s="58"/>
      <c r="L77" s="59">
        <f t="shared" si="0"/>
        <v>0</v>
      </c>
      <c r="M77" s="46"/>
      <c r="V77" s="43"/>
      <c r="AH77" s="42"/>
    </row>
    <row r="78" spans="2:34" x14ac:dyDescent="0.25">
      <c r="D78" s="55"/>
      <c r="E78" s="55"/>
      <c r="K78" s="42"/>
      <c r="V78" s="43"/>
      <c r="AH78" s="42"/>
    </row>
    <row r="79" spans="2:34" x14ac:dyDescent="0.25">
      <c r="D79" s="55"/>
    </row>
    <row r="80" spans="2:34" x14ac:dyDescent="0.25">
      <c r="D80" s="55"/>
      <c r="N80" s="41"/>
      <c r="O80" s="41"/>
      <c r="P80" s="41"/>
      <c r="Q80" s="41"/>
      <c r="R80" s="41"/>
      <c r="S80" s="41"/>
    </row>
    <row r="81" spans="4:19" x14ac:dyDescent="0.25">
      <c r="D81" s="55"/>
      <c r="N81" s="41"/>
      <c r="O81" s="42"/>
      <c r="P81" s="42"/>
      <c r="Q81" s="42"/>
      <c r="R81" s="42"/>
      <c r="S81" s="42"/>
    </row>
    <row r="82" spans="4:19" x14ac:dyDescent="0.25">
      <c r="D82" s="55"/>
      <c r="N82" s="41"/>
      <c r="O82" s="42"/>
      <c r="P82" s="42"/>
      <c r="Q82" s="42"/>
      <c r="R82" s="42"/>
      <c r="S82" s="42"/>
    </row>
    <row r="83" spans="4:19" x14ac:dyDescent="0.25">
      <c r="D83" s="55"/>
      <c r="N83" s="41"/>
      <c r="O83" s="42"/>
      <c r="P83" s="42"/>
      <c r="Q83" s="42"/>
      <c r="R83" s="42"/>
      <c r="S83" s="42"/>
    </row>
    <row r="84" spans="4:19" x14ac:dyDescent="0.25">
      <c r="D84" s="55"/>
      <c r="N84" s="41"/>
      <c r="O84" s="41"/>
      <c r="P84" s="41"/>
      <c r="Q84" s="41"/>
      <c r="R84" s="41"/>
      <c r="S84" s="41"/>
    </row>
    <row r="85" spans="4:19" x14ac:dyDescent="0.25">
      <c r="D85" s="55"/>
      <c r="N85" s="41"/>
      <c r="O85" s="42"/>
      <c r="P85" s="42"/>
      <c r="Q85" s="42"/>
      <c r="R85" s="42"/>
      <c r="S85" s="42"/>
    </row>
    <row r="86" spans="4:19" x14ac:dyDescent="0.25">
      <c r="D86" s="55"/>
      <c r="N86" s="41"/>
      <c r="O86" s="42"/>
      <c r="P86" s="42"/>
      <c r="Q86" s="42"/>
      <c r="R86" s="42"/>
      <c r="S86" s="42"/>
    </row>
    <row r="87" spans="4:19" x14ac:dyDescent="0.25">
      <c r="D87" s="55"/>
      <c r="N87" s="41"/>
      <c r="O87" s="42"/>
      <c r="P87" s="42"/>
      <c r="Q87" s="42"/>
      <c r="R87" s="42"/>
      <c r="S87" s="42"/>
    </row>
    <row r="88" spans="4:19" x14ac:dyDescent="0.25">
      <c r="D88" s="55"/>
      <c r="N88" s="41"/>
      <c r="O88" s="41"/>
      <c r="P88" s="41"/>
      <c r="Q88" s="41"/>
      <c r="R88" s="41"/>
      <c r="S88" s="41"/>
    </row>
    <row r="89" spans="4:19" x14ac:dyDescent="0.25">
      <c r="D89" s="55"/>
      <c r="N89" s="41"/>
      <c r="O89" s="42"/>
      <c r="P89" s="42"/>
      <c r="Q89" s="42"/>
      <c r="R89" s="42"/>
      <c r="S89" s="42"/>
    </row>
    <row r="90" spans="4:19" x14ac:dyDescent="0.25">
      <c r="D90" s="55"/>
      <c r="N90" s="41"/>
      <c r="O90" s="42"/>
      <c r="P90" s="42"/>
      <c r="Q90" s="42"/>
      <c r="R90" s="42"/>
      <c r="S90" s="42"/>
    </row>
    <row r="91" spans="4:19" x14ac:dyDescent="0.25">
      <c r="D91" s="55"/>
      <c r="N91" s="41"/>
      <c r="O91" s="42"/>
      <c r="P91" s="42"/>
      <c r="Q91" s="42"/>
      <c r="R91" s="42"/>
      <c r="S91" s="42"/>
    </row>
    <row r="92" spans="4:19" x14ac:dyDescent="0.25">
      <c r="D92" s="55"/>
      <c r="N92" s="41"/>
      <c r="O92" s="41"/>
      <c r="P92" s="41"/>
      <c r="Q92" s="41"/>
      <c r="R92" s="41"/>
      <c r="S92" s="41"/>
    </row>
    <row r="93" spans="4:19" x14ac:dyDescent="0.25">
      <c r="D93" s="55"/>
      <c r="N93" s="41"/>
      <c r="O93" s="42"/>
      <c r="P93" s="42"/>
      <c r="Q93" s="42"/>
      <c r="R93" s="42"/>
      <c r="S93" s="42"/>
    </row>
    <row r="94" spans="4:19" x14ac:dyDescent="0.25">
      <c r="D94" s="55"/>
      <c r="N94" s="41"/>
      <c r="O94" s="42"/>
      <c r="P94" s="42"/>
      <c r="Q94" s="42"/>
      <c r="R94" s="42"/>
      <c r="S94" s="42"/>
    </row>
    <row r="95" spans="4:19" x14ac:dyDescent="0.25">
      <c r="D95" s="55"/>
    </row>
  </sheetData>
  <mergeCells count="9">
    <mergeCell ref="L38:L40"/>
    <mergeCell ref="D38:D40"/>
    <mergeCell ref="B41:B52"/>
    <mergeCell ref="B53:B65"/>
    <mergeCell ref="B72:B74"/>
    <mergeCell ref="B75:B77"/>
    <mergeCell ref="B69:B71"/>
    <mergeCell ref="B66:B68"/>
    <mergeCell ref="C38:C40"/>
  </mergeCells>
  <conditionalFormatting sqref="F3:J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:J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:J1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:J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9:J1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3:J2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:J2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1:J3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:J3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1:K7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1:M77">
    <cfRule type="cellIs" dxfId="4" priority="6" operator="between">
      <formula>0.1</formula>
      <formula>49.999</formula>
    </cfRule>
    <cfRule type="cellIs" dxfId="3" priority="7" operator="between">
      <formula>50</formula>
      <formula>64.999</formula>
    </cfRule>
    <cfRule type="cellIs" dxfId="2" priority="8" operator="between">
      <formula>65</formula>
      <formula>80</formula>
    </cfRule>
    <cfRule type="cellIs" dxfId="1" priority="9" operator="greaterThanOrEqual">
      <formula>80</formula>
    </cfRule>
    <cfRule type="cellIs" dxfId="0" priority="10" operator="equal">
      <formula>0</formula>
    </cfRule>
  </conditionalFormatting>
  <conditionalFormatting sqref="O82:S8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86:S8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90:S90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94:S9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0:AH4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3:AH5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C43" location="Techite!A1" display="Techite Pipe Rehabilitation" xr:uid="{AEC206F6-5177-4589-9D23-357DFDF31520}"/>
    <hyperlink ref="C44" location="'OCR Rehab'!A1" display="Old Creek Rd Rehab" xr:uid="{B258E852-EDF9-40D7-93E2-427CB5AFD86D}"/>
    <hyperlink ref="C45" location="'Ojai ACP Rehab'!A1" display="Ojai Asbestos Pipe Rehab." xr:uid="{E2C2AE31-75D2-4BA8-9B39-C4196E315750}"/>
    <hyperlink ref="C46" location="Prospect!A1" display="Prospect Trunk Sewer Realignment" xr:uid="{40E35327-2836-437B-8917-979106083CA9}"/>
    <hyperlink ref="C47" location="'Foster Park'!A1" display="Foster Park Sewer Relocation" xr:uid="{402225C5-093D-4C0E-84A9-7CB1F17E52F5}"/>
    <hyperlink ref="C48" location="'SAC Siphon'!A1" display="San Antonio Creek Siphon" xr:uid="{4F79A26A-433B-42E6-9890-06348E2AB4FD}"/>
    <hyperlink ref="C49" location="'Creek Siphons'!A1" display="Creek Road Siphons (4)" xr:uid="{5ED83219-4F16-403B-82E6-7F683E7F283E}"/>
    <hyperlink ref="C53" location="'2026 PB-Rancho Only'!A1" display="Pipe Bursting - Rancho Dr" xr:uid="{82C42045-FA34-4CCE-BD89-AF11E3B64DB0}"/>
    <hyperlink ref="C54" location="'2026 PB-Alto Only'!A1" display="Pipe Bursting - Alto Dr" xr:uid="{656C0C3A-EB4A-4652-A1A6-6AB24E96ECF5}"/>
    <hyperlink ref="C55" location="'2026 PB-Feliz Only'!A1" display="Pipe Bursting - Feliz Dr" xr:uid="{5F41F788-5267-4FA1-8B85-39A72433BC94}"/>
    <hyperlink ref="C56" location="'N.Vent Ave Improv.'!A1" display="N. Ventura Ave. Improvements" xr:uid="{764A8EAB-1181-46F9-8F2C-C456BD4C56FE}"/>
    <hyperlink ref="C57" location="'Barbara St MHs'!A1" display="Barbara St. Manholes" xr:uid="{0EEDF752-2908-45E6-A83C-F1B441DE6521}"/>
    <hyperlink ref="C58" location="'Redwood Bursting'!A1" display="Mira Monte Sewer Improvements" xr:uid="{83138E8D-2564-441C-A306-50BA8980E572}"/>
    <hyperlink ref="C59" location="Lomita!A1" display="Lomita Ave Sewer Improvements" xr:uid="{8D1C52C0-238B-4CC8-844F-F34EBD7F62DC}"/>
    <hyperlink ref="C60" location="Pirie!A1" display="Pirie Road Sewer Improvements" xr:uid="{394F25C4-60E0-4416-B693-50D7779E1A50}"/>
    <hyperlink ref="C50" location="'Cast and Ductile'!K24" display="Cast Iron and Ductile Iron Pipe Rehabilitation-Trunk" xr:uid="{35B9F0CD-4F87-488D-A0A5-A0C2696BA7C6}"/>
    <hyperlink ref="C63" location="'Cast and Ductile'!K23" display="Cast Iron and Ductile Iron Pipe Rehabilitation-Trunk" xr:uid="{C0FCA9A0-9988-41E2-AF4C-7F19828F22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0860-B3E8-4D5C-9C74-2A0971E46F9F}">
  <dimension ref="A1:Y38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9" width="11.5703125" bestFit="1" customWidth="1"/>
    <col min="10" max="15" width="5" bestFit="1" customWidth="1"/>
    <col min="17" max="17" width="34.140625" bestFit="1" customWidth="1"/>
    <col min="18" max="18" width="10" bestFit="1" customWidth="1"/>
    <col min="19" max="23" width="6.28515625" bestFit="1" customWidth="1"/>
    <col min="24" max="25" width="7.85546875" bestFit="1" customWidth="1"/>
  </cols>
  <sheetData>
    <row r="1" spans="1:25" x14ac:dyDescent="0.25">
      <c r="A1" s="1" t="s">
        <v>404</v>
      </c>
      <c r="B1" t="s">
        <v>112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410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ROUND((SUM(C13:C21)*0.1),-3)</f>
        <v>15000</v>
      </c>
      <c r="D3" s="11"/>
      <c r="E3" t="s">
        <v>108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G4" s="3" t="s">
        <v>14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H4*R7</f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v>2500</v>
      </c>
      <c r="D6" s="14"/>
      <c r="E6" t="s">
        <v>106</v>
      </c>
      <c r="G6" s="3" t="s">
        <v>66</v>
      </c>
      <c r="H6" s="35">
        <v>0</v>
      </c>
      <c r="I6" s="35"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100</v>
      </c>
      <c r="R6" s="16">
        <v>450</v>
      </c>
      <c r="S6" s="16">
        <v>500</v>
      </c>
      <c r="T6" s="16">
        <v>550</v>
      </c>
      <c r="U6" s="16">
        <v>600</v>
      </c>
      <c r="V6" s="16">
        <v>700</v>
      </c>
      <c r="W6" s="16">
        <v>800</v>
      </c>
      <c r="X6" s="16">
        <v>1000</v>
      </c>
      <c r="Y6" s="16">
        <v>1250</v>
      </c>
    </row>
    <row r="7" spans="1:25" x14ac:dyDescent="0.25">
      <c r="A7" s="19">
        <v>3.01</v>
      </c>
      <c r="B7" s="9" t="s">
        <v>25</v>
      </c>
      <c r="C7" s="10">
        <f>ROUND((SUM(C13:C21)*0.05),-3)</f>
        <v>8000</v>
      </c>
      <c r="D7" s="14"/>
      <c r="E7" t="s">
        <v>26</v>
      </c>
      <c r="G7" s="3" t="s">
        <v>67</v>
      </c>
      <c r="H7" s="35">
        <v>0</v>
      </c>
      <c r="I7" s="35">
        <v>0</v>
      </c>
      <c r="J7" s="35">
        <v>0</v>
      </c>
      <c r="K7" s="35">
        <v>0</v>
      </c>
      <c r="L7" s="35">
        <f>L5*V7</f>
        <v>0</v>
      </c>
      <c r="M7" s="35">
        <f>M5*W7</f>
        <v>0</v>
      </c>
      <c r="N7" s="35">
        <f>N5*X7</f>
        <v>0</v>
      </c>
      <c r="O7" s="35">
        <f>O5*Y7</f>
        <v>0</v>
      </c>
      <c r="P7" s="35"/>
      <c r="Q7" s="3" t="s">
        <v>21</v>
      </c>
      <c r="R7" s="16">
        <v>15</v>
      </c>
      <c r="S7" s="16">
        <v>10</v>
      </c>
      <c r="T7" s="16">
        <v>10</v>
      </c>
      <c r="U7" s="16">
        <v>10</v>
      </c>
      <c r="V7" s="16">
        <v>12</v>
      </c>
      <c r="W7" s="16">
        <v>15</v>
      </c>
      <c r="X7" s="16">
        <v>15</v>
      </c>
      <c r="Y7" s="16">
        <v>20</v>
      </c>
    </row>
    <row r="8" spans="1:25" x14ac:dyDescent="0.25">
      <c r="A8" s="19">
        <v>3.02</v>
      </c>
      <c r="B8" s="9" t="s">
        <v>29</v>
      </c>
      <c r="C8" s="10">
        <f>ROUND((SUM(C13:C21)*0.05),-3)</f>
        <v>8000</v>
      </c>
      <c r="D8" s="14"/>
      <c r="E8" t="s">
        <v>68</v>
      </c>
      <c r="G8" s="3" t="s">
        <v>99</v>
      </c>
      <c r="H8" s="35">
        <f>H4*R6</f>
        <v>0</v>
      </c>
      <c r="I8" s="35">
        <f>I4*S6</f>
        <v>0</v>
      </c>
      <c r="J8" s="35">
        <f t="shared" ref="J8:O8" si="2">J6*T7</f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"/>
      <c r="Q8" s="3" t="s">
        <v>24</v>
      </c>
      <c r="R8" s="18">
        <v>75</v>
      </c>
      <c r="S8" s="3"/>
      <c r="T8" s="15"/>
      <c r="U8" s="15"/>
      <c r="V8" s="15"/>
      <c r="W8" s="15"/>
      <c r="X8" s="15"/>
      <c r="Y8" s="15"/>
    </row>
    <row r="9" spans="1:25" x14ac:dyDescent="0.25">
      <c r="A9" s="19">
        <v>3.03</v>
      </c>
      <c r="B9" s="9" t="s">
        <v>33</v>
      </c>
      <c r="C9" s="10">
        <f>ROUND(((12*R17)),-3)</f>
        <v>21000</v>
      </c>
      <c r="D9" s="14"/>
      <c r="E9" t="s">
        <v>109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28</v>
      </c>
      <c r="R9" s="18">
        <v>200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v>0</v>
      </c>
      <c r="D10" s="14"/>
      <c r="G10" s="3"/>
      <c r="H10" s="12">
        <f>SUM(H4:O4)</f>
        <v>0</v>
      </c>
      <c r="I10" s="3"/>
      <c r="J10" s="3"/>
      <c r="K10" s="3"/>
      <c r="L10" s="3"/>
      <c r="M10" s="3"/>
      <c r="N10" s="3"/>
      <c r="O10" s="3"/>
      <c r="P10" s="3"/>
      <c r="Q10" s="3" t="s">
        <v>32</v>
      </c>
      <c r="R10" s="16">
        <v>1500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35</v>
      </c>
      <c r="R11" s="16">
        <v>4000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38</v>
      </c>
      <c r="R12" s="16">
        <v>1500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ROUND(((SUM(C14:C21))*0.05),-3)</f>
        <v>7000</v>
      </c>
      <c r="D13" s="22"/>
      <c r="E13" s="36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41</v>
      </c>
      <c r="R13" s="16">
        <v>3000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12*R12</f>
        <v>18000</v>
      </c>
      <c r="D14" s="22"/>
      <c r="E14" s="36" t="s">
        <v>110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44</v>
      </c>
      <c r="R14" s="16">
        <v>3500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f>R18*5</f>
        <v>127400</v>
      </c>
      <c r="D15" s="22"/>
      <c r="E15" s="36" t="s">
        <v>113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46</v>
      </c>
      <c r="R15" s="16">
        <v>10000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v>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75</v>
      </c>
      <c r="R16" s="16">
        <v>15000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48</v>
      </c>
      <c r="R17" s="16">
        <f>(160*8)+(160*1.5*2)</f>
        <v>1760</v>
      </c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0</v>
      </c>
      <c r="D18" s="26"/>
      <c r="E18" s="36"/>
      <c r="G18" s="3"/>
      <c r="H18" s="3"/>
      <c r="I18" s="3"/>
      <c r="J18" s="3"/>
      <c r="K18" s="3"/>
      <c r="L18" s="3"/>
      <c r="M18" s="3"/>
      <c r="N18" s="3"/>
      <c r="O18" s="3"/>
      <c r="P18" s="3"/>
      <c r="Q18" s="3" t="s">
        <v>107</v>
      </c>
      <c r="R18" s="16">
        <f>(5000)+(8*8*8*40)</f>
        <v>25480</v>
      </c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101</v>
      </c>
      <c r="C19" s="25"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79</v>
      </c>
      <c r="C20" s="25"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19">
        <v>5.09</v>
      </c>
      <c r="B21" s="24" t="s">
        <v>80</v>
      </c>
      <c r="C21" s="25">
        <v>0</v>
      </c>
      <c r="D21" s="26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Bot="1" x14ac:dyDescent="0.3">
      <c r="A22" s="38">
        <v>6.1</v>
      </c>
      <c r="B22" s="28" t="s">
        <v>55</v>
      </c>
      <c r="C22" s="39">
        <f>ROUND((C3*0.075),-2)</f>
        <v>1100</v>
      </c>
      <c r="D22" s="30"/>
      <c r="E22" s="3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thickTop="1" x14ac:dyDescent="0.25">
      <c r="A23" s="31"/>
      <c r="B23" s="32" t="s">
        <v>56</v>
      </c>
      <c r="C23" s="33">
        <f>ROUNDUP((SUM(C3:C22)),-4)</f>
        <v>210000</v>
      </c>
      <c r="D23" s="33">
        <f>SUM(D3:D22)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57</v>
      </c>
      <c r="C30" s="34">
        <f>SUM(C3:C6)</f>
        <v>17500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58</v>
      </c>
      <c r="C31" s="34">
        <f>SUM(C7:C9)</f>
        <v>37000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59</v>
      </c>
      <c r="C32" s="34">
        <f>SUM(C10:C22)</f>
        <v>153500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B33" t="s">
        <v>60</v>
      </c>
      <c r="C33" s="34">
        <f>SUM(C30:C32)</f>
        <v>208000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Q34" s="3"/>
      <c r="R34" s="3"/>
      <c r="S34" s="3"/>
      <c r="T34" s="3"/>
      <c r="U34" s="3"/>
      <c r="V34" s="3"/>
      <c r="W34" s="3"/>
      <c r="X34" s="3"/>
      <c r="Y34" s="3"/>
    </row>
    <row r="38" spans="1:25" x14ac:dyDescent="0.25">
      <c r="A38">
        <v>1</v>
      </c>
    </row>
  </sheetData>
  <mergeCells count="2">
    <mergeCell ref="C2:D2"/>
    <mergeCell ref="Q2:S2"/>
  </mergeCells>
  <hyperlinks>
    <hyperlink ref="A1" location="'Matrix+Cover Sheet'!B41" display="Cover Sheet" xr:uid="{855AA172-3711-41DE-80D9-67611108724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119E-465F-4F17-90E1-D62BA8D88034}">
  <dimension ref="A1:Y39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9" width="11.5703125" bestFit="1" customWidth="1"/>
    <col min="10" max="15" width="5" bestFit="1" customWidth="1"/>
    <col min="17" max="17" width="34.140625" bestFit="1" customWidth="1"/>
    <col min="18" max="18" width="10" bestFit="1" customWidth="1"/>
    <col min="19" max="23" width="6.28515625" bestFit="1" customWidth="1"/>
    <col min="24" max="25" width="7.85546875" bestFit="1" customWidth="1"/>
  </cols>
  <sheetData>
    <row r="1" spans="1:25" x14ac:dyDescent="0.25">
      <c r="A1" s="1" t="s">
        <v>404</v>
      </c>
      <c r="B1" t="s">
        <v>169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111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ROUND((SUM(C13:C21)*0.2),-3)</f>
        <v>44000</v>
      </c>
      <c r="D3" s="11"/>
      <c r="E3" t="s">
        <v>412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20000</v>
      </c>
      <c r="D4" s="14"/>
      <c r="E4" t="s">
        <v>413</v>
      </c>
      <c r="G4" s="3" t="s">
        <v>14</v>
      </c>
      <c r="H4" s="12">
        <f>240+205</f>
        <v>445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H4*R7</f>
        <v>6675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v>5000</v>
      </c>
      <c r="D6" s="14"/>
      <c r="E6" t="s">
        <v>411</v>
      </c>
      <c r="G6" s="3" t="s">
        <v>66</v>
      </c>
      <c r="H6" s="35">
        <v>0</v>
      </c>
      <c r="I6" s="35"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100</v>
      </c>
      <c r="R6" s="16">
        <v>450</v>
      </c>
      <c r="S6" s="16">
        <v>500</v>
      </c>
      <c r="T6" s="16">
        <v>550</v>
      </c>
      <c r="U6" s="16">
        <v>600</v>
      </c>
      <c r="V6" s="16">
        <v>700</v>
      </c>
      <c r="W6" s="16">
        <v>800</v>
      </c>
      <c r="X6" s="16">
        <v>1000</v>
      </c>
      <c r="Y6" s="16">
        <v>1250</v>
      </c>
    </row>
    <row r="7" spans="1:25" x14ac:dyDescent="0.25">
      <c r="A7" s="19">
        <v>3.01</v>
      </c>
      <c r="B7" s="9" t="s">
        <v>25</v>
      </c>
      <c r="C7" s="10">
        <f>ROUND((SUM(C13:C21)*0.05),-3)</f>
        <v>11000</v>
      </c>
      <c r="D7" s="14"/>
      <c r="E7" t="s">
        <v>114</v>
      </c>
      <c r="G7" s="3" t="s">
        <v>67</v>
      </c>
      <c r="H7" s="35">
        <f>H4*R5</f>
        <v>122375</v>
      </c>
      <c r="I7" s="35">
        <v>0</v>
      </c>
      <c r="J7" s="35">
        <v>0</v>
      </c>
      <c r="K7" s="35">
        <v>0</v>
      </c>
      <c r="L7" s="35">
        <f>L5*V7</f>
        <v>0</v>
      </c>
      <c r="M7" s="35">
        <f>M5*W7</f>
        <v>0</v>
      </c>
      <c r="N7" s="35">
        <f>N5*X7</f>
        <v>0</v>
      </c>
      <c r="O7" s="35">
        <f>O5*Y7</f>
        <v>0</v>
      </c>
      <c r="P7" s="35"/>
      <c r="Q7" s="3" t="s">
        <v>21</v>
      </c>
      <c r="R7" s="16">
        <v>15</v>
      </c>
      <c r="S7" s="16">
        <v>10</v>
      </c>
      <c r="T7" s="16">
        <v>10</v>
      </c>
      <c r="U7" s="16">
        <v>10</v>
      </c>
      <c r="V7" s="16">
        <v>12</v>
      </c>
      <c r="W7" s="16">
        <v>15</v>
      </c>
      <c r="X7" s="16">
        <v>15</v>
      </c>
      <c r="Y7" s="16">
        <v>20</v>
      </c>
    </row>
    <row r="8" spans="1:25" x14ac:dyDescent="0.25">
      <c r="A8" s="19">
        <v>3.02</v>
      </c>
      <c r="B8" s="9" t="s">
        <v>29</v>
      </c>
      <c r="C8" s="10">
        <f>ROUND((SUM(C13:C21)*0.05),-3)</f>
        <v>11000</v>
      </c>
      <c r="D8" s="14"/>
      <c r="E8" t="s">
        <v>115</v>
      </c>
      <c r="G8" s="3" t="s">
        <v>99</v>
      </c>
      <c r="H8" s="35">
        <f>R6*50</f>
        <v>22500</v>
      </c>
      <c r="I8" s="35">
        <f>I4*S6</f>
        <v>0</v>
      </c>
      <c r="J8" s="35">
        <f t="shared" ref="J8:O8" si="2">J6*T7</f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"/>
      <c r="Q8" s="3" t="s">
        <v>24</v>
      </c>
      <c r="R8" s="18">
        <v>75</v>
      </c>
      <c r="S8" s="3"/>
      <c r="T8" s="15"/>
      <c r="U8" s="15"/>
      <c r="V8" s="15"/>
      <c r="W8" s="15"/>
      <c r="X8" s="15"/>
      <c r="Y8" s="15"/>
    </row>
    <row r="9" spans="1:25" x14ac:dyDescent="0.25">
      <c r="A9" s="19">
        <v>3.03</v>
      </c>
      <c r="B9" s="9" t="s">
        <v>33</v>
      </c>
      <c r="C9" s="10">
        <f>ROUND(((20*R17)),-3)</f>
        <v>35000</v>
      </c>
      <c r="D9" s="14"/>
      <c r="E9" t="s">
        <v>116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28</v>
      </c>
      <c r="R9" s="18">
        <v>200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v>0</v>
      </c>
      <c r="D10" s="14"/>
      <c r="G10" s="3"/>
      <c r="H10" s="12">
        <f>SUM(H4:O4)</f>
        <v>445</v>
      </c>
      <c r="I10" s="3"/>
      <c r="J10" s="3"/>
      <c r="K10" s="3"/>
      <c r="L10" s="3"/>
      <c r="M10" s="3"/>
      <c r="N10" s="3"/>
      <c r="O10" s="3"/>
      <c r="P10" s="3"/>
      <c r="Q10" s="3" t="s">
        <v>32</v>
      </c>
      <c r="R10" s="16">
        <v>1500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50000</v>
      </c>
      <c r="D11" s="14"/>
      <c r="E11" t="s">
        <v>117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35</v>
      </c>
      <c r="R11" s="16">
        <v>4000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38</v>
      </c>
      <c r="R12" s="16">
        <v>1500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ROUND(((SUM(C14:C21))*0.05),-3)</f>
        <v>11000</v>
      </c>
      <c r="D13" s="22"/>
      <c r="E13" s="36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41</v>
      </c>
      <c r="R13" s="16">
        <v>3000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2*R14</f>
        <v>7000</v>
      </c>
      <c r="D14" s="22"/>
      <c r="E14" s="36" t="s">
        <v>118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44</v>
      </c>
      <c r="R14" s="16">
        <v>3500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f>ROUND((R18*2),-3)</f>
        <v>51000</v>
      </c>
      <c r="D15" s="22"/>
      <c r="E15" s="36" t="s">
        <v>119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46</v>
      </c>
      <c r="R15" s="16">
        <v>10000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ROUND((H5),-3)</f>
        <v>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75</v>
      </c>
      <c r="R16" s="16">
        <v>15000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48</v>
      </c>
      <c r="R17" s="16">
        <f>(160*8)+(160*1.5*2)</f>
        <v>1760</v>
      </c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ROUND((H7),-3)</f>
        <v>122000</v>
      </c>
      <c r="D18" s="26"/>
      <c r="E18" s="36"/>
      <c r="G18" s="3"/>
      <c r="H18" s="3"/>
      <c r="I18" s="3"/>
      <c r="J18" s="3"/>
      <c r="K18" s="3"/>
      <c r="L18" s="3"/>
      <c r="M18" s="3"/>
      <c r="N18" s="3"/>
      <c r="O18" s="3"/>
      <c r="P18" s="3"/>
      <c r="Q18" s="3" t="s">
        <v>107</v>
      </c>
      <c r="R18" s="16">
        <f>(5000)+(8*8*8*40)</f>
        <v>25480</v>
      </c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101</v>
      </c>
      <c r="C19" s="25">
        <f>ROUND((H8),-3)</f>
        <v>23000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79</v>
      </c>
      <c r="C20" s="25">
        <f>0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19">
        <v>5.09</v>
      </c>
      <c r="B21" s="24" t="s">
        <v>80</v>
      </c>
      <c r="C21" s="25">
        <v>0</v>
      </c>
      <c r="D21" s="26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Bot="1" x14ac:dyDescent="0.3">
      <c r="A22" s="38">
        <v>6.1</v>
      </c>
      <c r="B22" s="28" t="s">
        <v>55</v>
      </c>
      <c r="C22" s="39">
        <f>ROUND((C3*0.075),-3)</f>
        <v>3000</v>
      </c>
      <c r="D22" s="30"/>
      <c r="E22" s="3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thickTop="1" x14ac:dyDescent="0.25">
      <c r="A23" s="31"/>
      <c r="B23" s="32" t="s">
        <v>56</v>
      </c>
      <c r="C23" s="33">
        <f>ROUNDUP((SUM(C3:C22)),-4)</f>
        <v>400000</v>
      </c>
      <c r="D23" s="33">
        <f>SUM(D3:D22)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57</v>
      </c>
      <c r="C30" s="34">
        <f>SUM(C3:C6)</f>
        <v>69000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58</v>
      </c>
      <c r="C31" s="34">
        <f>SUM(C7:C9)</f>
        <v>57000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59</v>
      </c>
      <c r="C32" s="34">
        <f>SUM(C10:C22)</f>
        <v>274000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B33" t="s">
        <v>60</v>
      </c>
      <c r="C33" s="34">
        <f>SUM(C30:C32)</f>
        <v>400000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Q34" s="3"/>
      <c r="R34" s="3"/>
      <c r="S34" s="3"/>
      <c r="T34" s="3"/>
      <c r="U34" s="3"/>
      <c r="V34" s="3"/>
      <c r="W34" s="3"/>
      <c r="X34" s="3"/>
      <c r="Y34" s="3"/>
    </row>
    <row r="36" spans="1:25" x14ac:dyDescent="0.25">
      <c r="B36" t="s">
        <v>405</v>
      </c>
      <c r="C36" s="34">
        <f>C3/2</f>
        <v>22000</v>
      </c>
    </row>
    <row r="37" spans="1:25" x14ac:dyDescent="0.25">
      <c r="B37" t="s">
        <v>406</v>
      </c>
      <c r="C37" s="34">
        <f>(C3-C36)+C4+C5+C22</f>
        <v>45000</v>
      </c>
    </row>
    <row r="38" spans="1:25" x14ac:dyDescent="0.25">
      <c r="A38">
        <v>1</v>
      </c>
      <c r="B38" t="s">
        <v>407</v>
      </c>
      <c r="C38" s="34">
        <f>SUM(C6:C21)</f>
        <v>333000</v>
      </c>
    </row>
    <row r="39" spans="1:25" x14ac:dyDescent="0.25">
      <c r="B39" t="s">
        <v>60</v>
      </c>
      <c r="C39" s="34">
        <f>SUM(C36:C38)</f>
        <v>400000</v>
      </c>
    </row>
  </sheetData>
  <mergeCells count="2">
    <mergeCell ref="C2:D2"/>
    <mergeCell ref="Q2:S2"/>
  </mergeCells>
  <hyperlinks>
    <hyperlink ref="A1" location="'Matrix+Cover Sheet'!B41" display="Cover Sheet" xr:uid="{65EE79C8-6DC2-47CD-B4C4-80CFCDF2D09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EBCB-68D8-4AEC-AD4A-A6A430AAD00E}">
  <dimension ref="A1:H18"/>
  <sheetViews>
    <sheetView workbookViewId="0"/>
  </sheetViews>
  <sheetFormatPr defaultRowHeight="15" x14ac:dyDescent="0.25"/>
  <cols>
    <col min="1" max="1" width="18" bestFit="1" customWidth="1"/>
    <col min="2" max="2" width="43.85546875" bestFit="1" customWidth="1"/>
    <col min="3" max="3" width="10" bestFit="1" customWidth="1"/>
    <col min="4" max="4" width="6.140625" bestFit="1" customWidth="1"/>
    <col min="5" max="5" width="74.140625" bestFit="1" customWidth="1"/>
    <col min="6" max="6" width="9.140625" customWidth="1"/>
    <col min="7" max="7" width="30.140625" bestFit="1" customWidth="1"/>
    <col min="8" max="8" width="8.28515625" bestFit="1" customWidth="1"/>
  </cols>
  <sheetData>
    <row r="1" spans="1:8" x14ac:dyDescent="0.25">
      <c r="A1" s="1" t="s">
        <v>404</v>
      </c>
      <c r="B1" s="2" t="s">
        <v>171</v>
      </c>
      <c r="F1" s="41"/>
      <c r="G1" s="3"/>
      <c r="H1" s="3"/>
    </row>
    <row r="2" spans="1:8" x14ac:dyDescent="0.25">
      <c r="A2" s="4" t="s">
        <v>2</v>
      </c>
      <c r="B2" s="5" t="s">
        <v>172</v>
      </c>
      <c r="C2" s="121" t="s">
        <v>3</v>
      </c>
      <c r="D2" s="122"/>
      <c r="E2" t="s">
        <v>61</v>
      </c>
      <c r="F2" s="3"/>
      <c r="G2" s="123" t="s">
        <v>11</v>
      </c>
      <c r="H2" s="123"/>
    </row>
    <row r="3" spans="1:8" x14ac:dyDescent="0.25">
      <c r="A3" s="8">
        <v>1.01</v>
      </c>
      <c r="B3" s="9" t="s">
        <v>12</v>
      </c>
      <c r="C3" s="10">
        <f>ROUND((SUM(C13:C16)*0.1),-3)</f>
        <v>23000</v>
      </c>
      <c r="D3" s="11"/>
      <c r="E3" t="s">
        <v>173</v>
      </c>
      <c r="F3" s="3"/>
      <c r="G3" s="3" t="s">
        <v>174</v>
      </c>
      <c r="H3" s="7">
        <v>10</v>
      </c>
    </row>
    <row r="4" spans="1:8" x14ac:dyDescent="0.25">
      <c r="A4" s="8">
        <v>1.02</v>
      </c>
      <c r="B4" s="9" t="s">
        <v>15</v>
      </c>
      <c r="C4" s="10">
        <v>0</v>
      </c>
      <c r="D4" s="14"/>
      <c r="F4" s="3"/>
      <c r="G4" s="3" t="s">
        <v>33</v>
      </c>
      <c r="H4" s="16">
        <v>1760</v>
      </c>
    </row>
    <row r="5" spans="1:8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F5" s="3"/>
      <c r="G5" s="15" t="s">
        <v>175</v>
      </c>
      <c r="H5" s="16">
        <v>10000</v>
      </c>
    </row>
    <row r="6" spans="1:8" x14ac:dyDescent="0.25">
      <c r="A6" s="8">
        <v>2.02</v>
      </c>
      <c r="B6" s="9" t="s">
        <v>22</v>
      </c>
      <c r="C6" s="10">
        <v>10000</v>
      </c>
      <c r="D6" s="14"/>
      <c r="E6" t="s">
        <v>176</v>
      </c>
      <c r="F6" s="3"/>
      <c r="G6" s="15"/>
      <c r="H6" s="15"/>
    </row>
    <row r="7" spans="1:8" x14ac:dyDescent="0.25">
      <c r="A7" s="19">
        <v>3.01</v>
      </c>
      <c r="B7" s="9" t="s">
        <v>25</v>
      </c>
      <c r="C7" s="10">
        <f>ROUND((SUM(C13:C16)*0.1),-3)</f>
        <v>23000</v>
      </c>
      <c r="D7" s="14"/>
      <c r="E7" t="s">
        <v>83</v>
      </c>
      <c r="F7" s="3"/>
      <c r="G7" s="3"/>
      <c r="H7" s="3" t="s">
        <v>4</v>
      </c>
    </row>
    <row r="8" spans="1:8" x14ac:dyDescent="0.25">
      <c r="A8" s="19">
        <v>3.02</v>
      </c>
      <c r="B8" s="9" t="s">
        <v>29</v>
      </c>
      <c r="C8" s="10">
        <f>ROUND((SUM(C13:C16)*0.05),-3)</f>
        <v>12000</v>
      </c>
      <c r="D8" s="14"/>
      <c r="E8" t="s">
        <v>68</v>
      </c>
      <c r="F8" s="3"/>
      <c r="G8" s="3" t="s">
        <v>177</v>
      </c>
      <c r="H8" s="16">
        <v>650</v>
      </c>
    </row>
    <row r="9" spans="1:8" x14ac:dyDescent="0.25">
      <c r="A9" s="19">
        <v>3.03</v>
      </c>
      <c r="B9" s="9" t="s">
        <v>33</v>
      </c>
      <c r="C9" s="10">
        <f>ROUND(((H3*H4)),-3)</f>
        <v>18000</v>
      </c>
      <c r="D9" s="14"/>
      <c r="E9" t="s">
        <v>34</v>
      </c>
      <c r="F9" s="3"/>
      <c r="G9" s="15"/>
      <c r="H9" s="15"/>
    </row>
    <row r="10" spans="1:8" x14ac:dyDescent="0.25">
      <c r="A10" s="19">
        <v>3.04</v>
      </c>
      <c r="B10" s="9" t="s">
        <v>36</v>
      </c>
      <c r="C10" s="10">
        <v>10000</v>
      </c>
      <c r="D10" s="14"/>
      <c r="E10" t="s">
        <v>178</v>
      </c>
      <c r="F10" s="3"/>
      <c r="G10" s="3" t="s">
        <v>38</v>
      </c>
      <c r="H10" s="16">
        <v>1500</v>
      </c>
    </row>
    <row r="11" spans="1:8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F11" s="3"/>
      <c r="G11" s="3" t="s">
        <v>41</v>
      </c>
      <c r="H11" s="16">
        <v>3000</v>
      </c>
    </row>
    <row r="12" spans="1:8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F12" s="3"/>
      <c r="G12" s="3" t="s">
        <v>44</v>
      </c>
      <c r="H12" s="16">
        <v>3500</v>
      </c>
    </row>
    <row r="13" spans="1:8" x14ac:dyDescent="0.25">
      <c r="A13" s="19">
        <v>5.01</v>
      </c>
      <c r="B13" s="20" t="s">
        <v>45</v>
      </c>
      <c r="C13" s="23">
        <f>ROUND(((SUM(C14:C16))*0.05),-3)</f>
        <v>11000</v>
      </c>
      <c r="D13" s="22"/>
      <c r="F13" s="3"/>
      <c r="G13" s="15"/>
      <c r="H13" s="3"/>
    </row>
    <row r="14" spans="1:8" x14ac:dyDescent="0.25">
      <c r="A14" s="19">
        <v>5.0199999999999996</v>
      </c>
      <c r="B14" s="20" t="s">
        <v>72</v>
      </c>
      <c r="C14" s="23">
        <f>H11*H3</f>
        <v>30000</v>
      </c>
      <c r="D14" s="22"/>
      <c r="F14" s="3"/>
      <c r="G14" s="3"/>
      <c r="H14" s="3"/>
    </row>
    <row r="15" spans="1:8" x14ac:dyDescent="0.25">
      <c r="A15" s="19">
        <v>5.03</v>
      </c>
      <c r="B15" s="20" t="s">
        <v>179</v>
      </c>
      <c r="C15" s="23">
        <f>H5*6</f>
        <v>60000</v>
      </c>
      <c r="D15" s="22"/>
      <c r="E15" t="s">
        <v>180</v>
      </c>
      <c r="F15" s="3"/>
      <c r="G15" s="35"/>
      <c r="H15" s="3"/>
    </row>
    <row r="16" spans="1:8" x14ac:dyDescent="0.25">
      <c r="A16" s="19">
        <v>5.04</v>
      </c>
      <c r="B16" s="20" t="s">
        <v>181</v>
      </c>
      <c r="C16" s="23">
        <f>ROUND((H8*200),-3)</f>
        <v>130000</v>
      </c>
      <c r="D16" s="22"/>
      <c r="E16" t="s">
        <v>182</v>
      </c>
      <c r="F16" s="3"/>
      <c r="G16" s="3"/>
      <c r="H16" s="6"/>
    </row>
    <row r="17" spans="1:8" ht="15.75" thickBot="1" x14ac:dyDescent="0.3">
      <c r="A17" s="38">
        <v>6.1</v>
      </c>
      <c r="B17" s="28" t="s">
        <v>55</v>
      </c>
      <c r="C17" s="39">
        <f>ROUND((C3*0.15),-3)</f>
        <v>3000</v>
      </c>
      <c r="D17" s="30"/>
      <c r="F17" s="3"/>
      <c r="G17" s="12"/>
      <c r="H17" s="12"/>
    </row>
    <row r="18" spans="1:8" ht="15.75" thickTop="1" x14ac:dyDescent="0.25">
      <c r="A18" s="31"/>
      <c r="B18" s="32" t="s">
        <v>56</v>
      </c>
      <c r="C18" s="33">
        <f>ROUNDUP((SUM(C3:C17)),-4)</f>
        <v>330000</v>
      </c>
      <c r="D18" s="33">
        <f>SUM(D3:D17)</f>
        <v>0</v>
      </c>
      <c r="F18" s="3"/>
      <c r="G18" s="12"/>
      <c r="H18" s="12"/>
    </row>
  </sheetData>
  <mergeCells count="2">
    <mergeCell ref="C2:D2"/>
    <mergeCell ref="G2:H2"/>
  </mergeCells>
  <hyperlinks>
    <hyperlink ref="A1" location="'Matrix+Cover Sheet'!B41" display="Cover Sheet" xr:uid="{764BEB9E-C0E6-43F5-8CA8-4C87203F3B7A}"/>
  </hyperlink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D92C-8DBF-40BD-B435-BE77B039C130}">
  <dimension ref="A1:H18"/>
  <sheetViews>
    <sheetView workbookViewId="0"/>
  </sheetViews>
  <sheetFormatPr defaultRowHeight="15" x14ac:dyDescent="0.25"/>
  <cols>
    <col min="1" max="1" width="18" bestFit="1" customWidth="1"/>
    <col min="2" max="2" width="42.5703125" bestFit="1" customWidth="1"/>
    <col min="3" max="3" width="10" bestFit="1" customWidth="1"/>
    <col min="4" max="4" width="6.140625" bestFit="1" customWidth="1"/>
    <col min="5" max="5" width="74.140625" bestFit="1" customWidth="1"/>
    <col min="7" max="7" width="30.140625" bestFit="1" customWidth="1"/>
    <col min="8" max="8" width="8.28515625" bestFit="1" customWidth="1"/>
  </cols>
  <sheetData>
    <row r="1" spans="1:8" x14ac:dyDescent="0.25">
      <c r="A1" s="1" t="s">
        <v>404</v>
      </c>
      <c r="F1" s="124"/>
      <c r="G1" s="124"/>
      <c r="H1" s="3"/>
    </row>
    <row r="2" spans="1:8" x14ac:dyDescent="0.25">
      <c r="A2" s="4" t="s">
        <v>2</v>
      </c>
      <c r="B2" s="5" t="s">
        <v>183</v>
      </c>
      <c r="C2" s="121" t="s">
        <v>3</v>
      </c>
      <c r="D2" s="122"/>
      <c r="E2" t="s">
        <v>61</v>
      </c>
      <c r="F2" s="3"/>
      <c r="G2" s="3"/>
      <c r="H2" s="6"/>
    </row>
    <row r="3" spans="1:8" x14ac:dyDescent="0.25">
      <c r="A3" s="8">
        <v>1.01</v>
      </c>
      <c r="B3" s="9" t="s">
        <v>12</v>
      </c>
      <c r="C3" s="10">
        <f>ROUND((SUM(C13:C16)*0.1),-3)</f>
        <v>25000</v>
      </c>
      <c r="D3" s="11"/>
      <c r="E3" t="s">
        <v>173</v>
      </c>
      <c r="F3" s="3"/>
      <c r="G3" s="123" t="s">
        <v>11</v>
      </c>
      <c r="H3" s="123"/>
    </row>
    <row r="4" spans="1:8" x14ac:dyDescent="0.25">
      <c r="A4" s="8">
        <v>1.02</v>
      </c>
      <c r="B4" s="9" t="s">
        <v>15</v>
      </c>
      <c r="C4" s="10">
        <v>0</v>
      </c>
      <c r="D4" s="14"/>
      <c r="F4" s="3"/>
      <c r="G4" s="3" t="s">
        <v>174</v>
      </c>
      <c r="H4" s="7">
        <v>13</v>
      </c>
    </row>
    <row r="5" spans="1:8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F5" s="3"/>
      <c r="G5" s="3" t="s">
        <v>33</v>
      </c>
      <c r="H5" s="16">
        <v>1760</v>
      </c>
    </row>
    <row r="6" spans="1:8" x14ac:dyDescent="0.25">
      <c r="A6" s="8">
        <v>2.02</v>
      </c>
      <c r="B6" s="9" t="s">
        <v>22</v>
      </c>
      <c r="C6" s="10">
        <v>20000</v>
      </c>
      <c r="D6" s="14"/>
      <c r="E6" t="s">
        <v>184</v>
      </c>
      <c r="F6" s="3"/>
      <c r="G6" s="15" t="s">
        <v>175</v>
      </c>
      <c r="H6" s="16">
        <v>10000</v>
      </c>
    </row>
    <row r="7" spans="1:8" x14ac:dyDescent="0.25">
      <c r="A7" s="19">
        <v>3.01</v>
      </c>
      <c r="B7" s="9" t="s">
        <v>25</v>
      </c>
      <c r="C7" s="10">
        <f>ROUND((SUM(C13:C16)*0.1),-3)</f>
        <v>25000</v>
      </c>
      <c r="D7" s="14"/>
      <c r="E7" t="s">
        <v>83</v>
      </c>
      <c r="F7" s="3"/>
      <c r="G7" s="15"/>
      <c r="H7" s="15"/>
    </row>
    <row r="8" spans="1:8" x14ac:dyDescent="0.25">
      <c r="A8" s="19">
        <v>3.02</v>
      </c>
      <c r="B8" s="9" t="s">
        <v>29</v>
      </c>
      <c r="C8" s="10">
        <f>ROUND((SUM(C13:C16)*0.05),-3)</f>
        <v>12000</v>
      </c>
      <c r="D8" s="14"/>
      <c r="E8" t="s">
        <v>68</v>
      </c>
      <c r="F8" s="3"/>
      <c r="G8" s="3"/>
      <c r="H8" s="3" t="s">
        <v>4</v>
      </c>
    </row>
    <row r="9" spans="1:8" x14ac:dyDescent="0.25">
      <c r="A9" s="19">
        <v>3.03</v>
      </c>
      <c r="B9" s="9" t="s">
        <v>33</v>
      </c>
      <c r="C9" s="10">
        <f>ROUND(((H4*H5)),-3)</f>
        <v>23000</v>
      </c>
      <c r="D9" s="14"/>
      <c r="E9" t="s">
        <v>34</v>
      </c>
      <c r="F9" s="3"/>
      <c r="G9" s="3" t="s">
        <v>177</v>
      </c>
      <c r="H9" s="16">
        <v>650</v>
      </c>
    </row>
    <row r="10" spans="1:8" x14ac:dyDescent="0.25">
      <c r="A10" s="19">
        <v>3.04</v>
      </c>
      <c r="B10" s="9" t="s">
        <v>36</v>
      </c>
      <c r="C10" s="10">
        <v>2500</v>
      </c>
      <c r="D10" s="14"/>
      <c r="F10" s="3"/>
      <c r="G10" s="15"/>
      <c r="H10" s="15"/>
    </row>
    <row r="11" spans="1:8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F11" s="3"/>
      <c r="G11" s="3" t="s">
        <v>38</v>
      </c>
      <c r="H11" s="16">
        <v>1500</v>
      </c>
    </row>
    <row r="12" spans="1:8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F12" s="3"/>
      <c r="G12" s="3" t="s">
        <v>41</v>
      </c>
      <c r="H12" s="16">
        <v>3000</v>
      </c>
    </row>
    <row r="13" spans="1:8" x14ac:dyDescent="0.25">
      <c r="A13" s="19">
        <v>5.01</v>
      </c>
      <c r="B13" s="20" t="s">
        <v>45</v>
      </c>
      <c r="C13" s="23">
        <f>ROUND(((SUM(C14:C16))*0.05),-3)</f>
        <v>12000</v>
      </c>
      <c r="D13" s="22"/>
      <c r="F13" s="3"/>
      <c r="G13" s="3" t="s">
        <v>44</v>
      </c>
      <c r="H13" s="16">
        <v>3500</v>
      </c>
    </row>
    <row r="14" spans="1:8" x14ac:dyDescent="0.25">
      <c r="A14" s="19">
        <v>5.0199999999999996</v>
      </c>
      <c r="B14" s="20" t="s">
        <v>72</v>
      </c>
      <c r="C14" s="23">
        <f>H13*H4</f>
        <v>45500</v>
      </c>
      <c r="D14" s="22"/>
      <c r="F14" s="3"/>
      <c r="G14" s="15"/>
      <c r="H14" s="3"/>
    </row>
    <row r="15" spans="1:8" x14ac:dyDescent="0.25">
      <c r="A15" s="19">
        <v>5.03</v>
      </c>
      <c r="B15" s="20" t="s">
        <v>179</v>
      </c>
      <c r="C15" s="23">
        <f>H6*6</f>
        <v>60000</v>
      </c>
      <c r="D15" s="22"/>
      <c r="E15" t="s">
        <v>180</v>
      </c>
      <c r="F15" s="3"/>
      <c r="G15" s="3"/>
      <c r="H15" s="3"/>
    </row>
    <row r="16" spans="1:8" x14ac:dyDescent="0.25">
      <c r="A16" s="19">
        <v>5.04</v>
      </c>
      <c r="B16" s="20" t="s">
        <v>181</v>
      </c>
      <c r="C16" s="23">
        <f>ROUND((H9*200),-3)</f>
        <v>130000</v>
      </c>
      <c r="D16" s="22"/>
      <c r="E16" t="s">
        <v>182</v>
      </c>
      <c r="F16" s="3"/>
      <c r="G16" s="35"/>
      <c r="H16" s="3"/>
    </row>
    <row r="17" spans="1:8" ht="15.75" thickBot="1" x14ac:dyDescent="0.3">
      <c r="A17" s="38">
        <v>6.1</v>
      </c>
      <c r="B17" s="28" t="s">
        <v>55</v>
      </c>
      <c r="C17" s="39">
        <f>ROUND((C3*0.15),-3)</f>
        <v>4000</v>
      </c>
      <c r="D17" s="30"/>
      <c r="F17" s="3"/>
      <c r="G17" s="3"/>
      <c r="H17" s="6"/>
    </row>
    <row r="18" spans="1:8" ht="15.75" thickTop="1" x14ac:dyDescent="0.25">
      <c r="A18" s="31"/>
      <c r="B18" s="32" t="s">
        <v>56</v>
      </c>
      <c r="C18" s="33">
        <f>ROUNDUP((SUM(C3:C17)),-4)</f>
        <v>360000</v>
      </c>
      <c r="D18" s="33">
        <f>SUM(D3:D17)</f>
        <v>0</v>
      </c>
      <c r="F18" s="3"/>
      <c r="G18" s="12"/>
      <c r="H18" s="12"/>
    </row>
  </sheetData>
  <mergeCells count="3">
    <mergeCell ref="F1:G1"/>
    <mergeCell ref="C2:D2"/>
    <mergeCell ref="G3:H3"/>
  </mergeCells>
  <hyperlinks>
    <hyperlink ref="A1" location="'Matrix+Cover Sheet'!B41" display="Cover Sheet" xr:uid="{7A3265D5-B4CF-4D27-BCFD-40DBBEB9A5C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FA69-71D3-4ACD-8C04-B7FACA7E90FA}">
  <dimension ref="A1:M24"/>
  <sheetViews>
    <sheetView workbookViewId="0"/>
  </sheetViews>
  <sheetFormatPr defaultRowHeight="15" x14ac:dyDescent="0.25"/>
  <cols>
    <col min="1" max="1" width="18" bestFit="1" customWidth="1"/>
    <col min="2" max="2" width="68.85546875" bestFit="1" customWidth="1"/>
    <col min="3" max="3" width="10" bestFit="1" customWidth="1"/>
    <col min="4" max="4" width="6.140625" bestFit="1" customWidth="1"/>
    <col min="5" max="5" width="53.140625" bestFit="1" customWidth="1"/>
    <col min="7" max="7" width="26.28515625" bestFit="1" customWidth="1"/>
    <col min="8" max="8" width="8.28515625" bestFit="1" customWidth="1"/>
    <col min="9" max="9" width="5.28515625" bestFit="1" customWidth="1"/>
    <col min="10" max="10" width="8.28515625" bestFit="1" customWidth="1"/>
    <col min="11" max="11" width="10.42578125" bestFit="1" customWidth="1"/>
    <col min="12" max="12" width="18.140625" bestFit="1" customWidth="1"/>
    <col min="13" max="13" width="8.28515625" bestFit="1" customWidth="1"/>
  </cols>
  <sheetData>
    <row r="1" spans="1:13" x14ac:dyDescent="0.25">
      <c r="A1" s="1" t="s">
        <v>404</v>
      </c>
      <c r="G1" s="3"/>
      <c r="H1" s="3"/>
      <c r="I1" s="3"/>
      <c r="J1" s="3"/>
      <c r="K1" s="3"/>
      <c r="L1" s="3"/>
      <c r="M1" s="3"/>
    </row>
    <row r="2" spans="1:13" x14ac:dyDescent="0.25">
      <c r="A2" s="4" t="s">
        <v>2</v>
      </c>
      <c r="B2" s="5" t="s">
        <v>185</v>
      </c>
      <c r="C2" s="121" t="s">
        <v>3</v>
      </c>
      <c r="D2" s="122"/>
      <c r="E2" s="2"/>
      <c r="G2" s="123" t="s">
        <v>11</v>
      </c>
      <c r="H2" s="123"/>
      <c r="I2" s="3"/>
      <c r="J2" s="3"/>
      <c r="K2" s="3"/>
      <c r="L2" s="3"/>
      <c r="M2" s="3"/>
    </row>
    <row r="3" spans="1:13" x14ac:dyDescent="0.25">
      <c r="A3" s="8">
        <v>1.01</v>
      </c>
      <c r="B3" s="9" t="s">
        <v>12</v>
      </c>
      <c r="C3" s="17">
        <f>ROUND((SUM(C14:C20)*0.075),-3)</f>
        <v>36000</v>
      </c>
      <c r="D3" s="11"/>
      <c r="G3" s="3"/>
      <c r="H3" s="3"/>
      <c r="I3" s="3"/>
      <c r="J3" s="3"/>
      <c r="K3" s="3"/>
      <c r="L3" s="3"/>
      <c r="M3" s="3"/>
    </row>
    <row r="4" spans="1:13" x14ac:dyDescent="0.25">
      <c r="A4" s="8">
        <v>1.02</v>
      </c>
      <c r="B4" s="9" t="s">
        <v>15</v>
      </c>
      <c r="C4" s="10">
        <f>ROUND(((SUM(C14:C20)*0.075)+((H14+H17)*10*200)),-3)</f>
        <v>56000</v>
      </c>
      <c r="D4" s="14"/>
      <c r="E4" t="s">
        <v>186</v>
      </c>
      <c r="G4" s="3" t="s">
        <v>187</v>
      </c>
      <c r="H4" s="16">
        <v>10000</v>
      </c>
      <c r="I4" s="6"/>
      <c r="J4" s="3"/>
      <c r="K4" s="3"/>
      <c r="L4" s="3"/>
      <c r="M4" s="3"/>
    </row>
    <row r="5" spans="1:13" x14ac:dyDescent="0.25">
      <c r="A5" s="8">
        <v>2.0099999999999998</v>
      </c>
      <c r="B5" s="9" t="s">
        <v>18</v>
      </c>
      <c r="C5" s="17">
        <f>15000</f>
        <v>15000</v>
      </c>
      <c r="D5" s="14"/>
      <c r="E5" t="s">
        <v>188</v>
      </c>
      <c r="G5" s="3" t="s">
        <v>189</v>
      </c>
      <c r="H5" s="16">
        <v>750</v>
      </c>
      <c r="I5" s="15"/>
      <c r="J5" s="15"/>
      <c r="K5" s="15"/>
      <c r="L5" s="15"/>
      <c r="M5" s="15"/>
    </row>
    <row r="6" spans="1:13" x14ac:dyDescent="0.25">
      <c r="A6" s="8">
        <v>2.02</v>
      </c>
      <c r="B6" s="9" t="s">
        <v>22</v>
      </c>
      <c r="C6" s="10">
        <v>5000</v>
      </c>
      <c r="D6" s="14"/>
      <c r="E6" t="s">
        <v>190</v>
      </c>
      <c r="G6" s="3" t="s">
        <v>191</v>
      </c>
      <c r="H6" s="16">
        <v>2000</v>
      </c>
      <c r="I6" s="15"/>
      <c r="J6" s="15"/>
      <c r="K6" s="3"/>
      <c r="L6" s="3"/>
      <c r="M6" s="3"/>
    </row>
    <row r="7" spans="1:13" x14ac:dyDescent="0.25">
      <c r="A7" s="19">
        <v>3.01</v>
      </c>
      <c r="B7" s="9" t="s">
        <v>25</v>
      </c>
      <c r="C7" s="10">
        <f>ROUND((SUM(C13:C21)*0.1),-3)</f>
        <v>54000</v>
      </c>
      <c r="D7" s="14"/>
      <c r="G7" s="3" t="s">
        <v>192</v>
      </c>
      <c r="H7" s="16">
        <v>10000</v>
      </c>
      <c r="I7" s="3"/>
      <c r="J7" s="3"/>
      <c r="K7" s="3"/>
      <c r="L7" s="3"/>
      <c r="M7" s="3"/>
    </row>
    <row r="8" spans="1:13" x14ac:dyDescent="0.25">
      <c r="A8" s="19">
        <v>3.02</v>
      </c>
      <c r="B8" s="9" t="s">
        <v>29</v>
      </c>
      <c r="C8" s="10">
        <f>ROUND((SUM(C13:C21)*0.05),-3)</f>
        <v>27000</v>
      </c>
      <c r="D8" s="14"/>
      <c r="G8" s="3" t="s">
        <v>33</v>
      </c>
      <c r="H8" s="16">
        <f>(160*8)+(160*1.5*2)</f>
        <v>1760</v>
      </c>
      <c r="I8" s="3"/>
      <c r="J8" s="3"/>
      <c r="K8" s="3"/>
      <c r="L8" s="3"/>
      <c r="M8" s="3"/>
    </row>
    <row r="9" spans="1:13" x14ac:dyDescent="0.25">
      <c r="A9" s="19">
        <v>3.03</v>
      </c>
      <c r="B9" s="9" t="s">
        <v>33</v>
      </c>
      <c r="C9" s="17">
        <f>ROUND((H8*$H$19),-3)</f>
        <v>44000</v>
      </c>
      <c r="D9" s="14"/>
      <c r="G9" s="3"/>
      <c r="H9" s="35"/>
      <c r="I9" s="3"/>
      <c r="J9" s="3"/>
      <c r="K9" s="3"/>
      <c r="L9" s="3"/>
      <c r="M9" s="3"/>
    </row>
    <row r="10" spans="1:13" x14ac:dyDescent="0.25">
      <c r="A10" s="19">
        <v>3.04</v>
      </c>
      <c r="B10" s="9" t="s">
        <v>36</v>
      </c>
      <c r="C10" s="10">
        <v>10000</v>
      </c>
      <c r="D10" s="14"/>
      <c r="E10" t="s">
        <v>193</v>
      </c>
      <c r="G10" s="3" t="s">
        <v>194</v>
      </c>
      <c r="H10" s="7">
        <v>5</v>
      </c>
      <c r="I10" s="3"/>
      <c r="J10" s="3"/>
      <c r="K10" s="3"/>
      <c r="L10" s="3"/>
      <c r="M10" s="3"/>
    </row>
    <row r="11" spans="1:13" x14ac:dyDescent="0.25">
      <c r="A11" s="19">
        <v>4.01</v>
      </c>
      <c r="B11" s="9" t="s">
        <v>39</v>
      </c>
      <c r="C11" s="17">
        <v>30000</v>
      </c>
      <c r="D11" s="14"/>
      <c r="E11" t="s">
        <v>195</v>
      </c>
      <c r="G11" s="3" t="s">
        <v>196</v>
      </c>
      <c r="H11" s="16">
        <f>100+(350*8)+(175*8)</f>
        <v>4300</v>
      </c>
      <c r="I11" s="3"/>
      <c r="J11" s="3"/>
      <c r="K11" s="3"/>
      <c r="L11" s="3"/>
      <c r="M11" s="12"/>
    </row>
    <row r="12" spans="1:13" x14ac:dyDescent="0.25">
      <c r="A12" s="19">
        <v>4.0199999999999996</v>
      </c>
      <c r="B12" s="9" t="s">
        <v>42</v>
      </c>
      <c r="C12" s="10">
        <v>0</v>
      </c>
      <c r="D12" s="14"/>
      <c r="E12" t="s">
        <v>197</v>
      </c>
      <c r="G12" s="3"/>
      <c r="H12" s="3"/>
      <c r="I12" s="3"/>
      <c r="J12" s="3" t="s">
        <v>198</v>
      </c>
      <c r="K12" s="3" t="s">
        <v>199</v>
      </c>
      <c r="L12" s="12" t="s">
        <v>200</v>
      </c>
      <c r="M12" s="12" t="s">
        <v>201</v>
      </c>
    </row>
    <row r="13" spans="1:13" x14ac:dyDescent="0.25">
      <c r="A13" s="19">
        <v>5.01</v>
      </c>
      <c r="B13" s="20" t="s">
        <v>45</v>
      </c>
      <c r="C13" s="10">
        <f>ROUND(((SUM(C14:C21))*0.05),-3)</f>
        <v>26000</v>
      </c>
      <c r="D13" s="14"/>
      <c r="G13" s="3" t="s">
        <v>202</v>
      </c>
      <c r="H13" s="7">
        <v>4</v>
      </c>
      <c r="I13" s="3" t="s">
        <v>174</v>
      </c>
      <c r="J13" s="35">
        <f>H13*$H$10*110*8*1.3</f>
        <v>22880</v>
      </c>
      <c r="K13" s="35">
        <f t="shared" ref="K13:K18" si="0">H13*$H$11*1.15</f>
        <v>19780</v>
      </c>
      <c r="L13" s="18">
        <v>5000</v>
      </c>
      <c r="M13" s="35">
        <f>SUM(J13:L13)</f>
        <v>47660</v>
      </c>
    </row>
    <row r="14" spans="1:13" x14ac:dyDescent="0.25">
      <c r="A14" s="19">
        <v>5.0199999999999996</v>
      </c>
      <c r="B14" s="20" t="s">
        <v>72</v>
      </c>
      <c r="C14" s="10">
        <f>ROUNDUP((H5*H19),-3)</f>
        <v>19000</v>
      </c>
      <c r="D14" s="14"/>
      <c r="E14" t="s">
        <v>203</v>
      </c>
      <c r="G14" s="3" t="s">
        <v>204</v>
      </c>
      <c r="H14" s="7">
        <v>8</v>
      </c>
      <c r="I14" s="3" t="s">
        <v>174</v>
      </c>
      <c r="J14" s="35">
        <f t="shared" ref="J14:J18" si="1">H14*$H$10*110*8*1.3</f>
        <v>45760</v>
      </c>
      <c r="K14" s="35">
        <f t="shared" si="0"/>
        <v>39560</v>
      </c>
      <c r="L14" s="16">
        <f>H14*1000</f>
        <v>8000</v>
      </c>
      <c r="M14" s="35">
        <f t="shared" ref="M14:M17" si="2">SUM(J14:L14)</f>
        <v>93320</v>
      </c>
    </row>
    <row r="15" spans="1:13" x14ac:dyDescent="0.25">
      <c r="A15" s="19">
        <v>5.03</v>
      </c>
      <c r="B15" s="20" t="s">
        <v>205</v>
      </c>
      <c r="C15" s="10">
        <f>ROUNDUP(((M13)+(10000*10)),-3)</f>
        <v>148000</v>
      </c>
      <c r="D15" s="14"/>
      <c r="E15" t="s">
        <v>206</v>
      </c>
      <c r="G15" s="3" t="s">
        <v>207</v>
      </c>
      <c r="H15" s="7">
        <v>2</v>
      </c>
      <c r="I15" s="6" t="s">
        <v>174</v>
      </c>
      <c r="J15" s="35">
        <f>H15*$H$10*110*8*1.3</f>
        <v>11440</v>
      </c>
      <c r="K15" s="35">
        <f t="shared" si="0"/>
        <v>9890</v>
      </c>
      <c r="L15" s="16">
        <f>20000+2000</f>
        <v>22000</v>
      </c>
      <c r="M15" s="35">
        <f t="shared" si="2"/>
        <v>43330</v>
      </c>
    </row>
    <row r="16" spans="1:13" x14ac:dyDescent="0.25">
      <c r="A16" s="19">
        <v>5.04</v>
      </c>
      <c r="B16" s="20" t="s">
        <v>208</v>
      </c>
      <c r="C16" s="10">
        <f>ROUNDUP((M14),-3)</f>
        <v>94000</v>
      </c>
      <c r="D16" s="14"/>
      <c r="G16" s="3" t="s">
        <v>209</v>
      </c>
      <c r="H16" s="7">
        <v>5</v>
      </c>
      <c r="I16" s="3" t="s">
        <v>174</v>
      </c>
      <c r="J16" s="35">
        <f t="shared" si="1"/>
        <v>28600</v>
      </c>
      <c r="K16" s="35">
        <f t="shared" si="0"/>
        <v>24724.999999999996</v>
      </c>
      <c r="L16" s="16">
        <f>(150*35)+(5*1500)</f>
        <v>12750</v>
      </c>
      <c r="M16" s="35">
        <f t="shared" si="2"/>
        <v>66075</v>
      </c>
    </row>
    <row r="17" spans="1:13" x14ac:dyDescent="0.25">
      <c r="A17" s="19">
        <v>5.05</v>
      </c>
      <c r="B17" s="20" t="s">
        <v>207</v>
      </c>
      <c r="C17" s="10">
        <f>ROUNDUP((M15),-3)</f>
        <v>44000</v>
      </c>
      <c r="D17" s="14"/>
      <c r="G17" s="3" t="s">
        <v>210</v>
      </c>
      <c r="H17" s="18">
        <v>2</v>
      </c>
      <c r="I17" s="12" t="s">
        <v>174</v>
      </c>
      <c r="J17" s="35">
        <f t="shared" si="1"/>
        <v>11440</v>
      </c>
      <c r="K17" s="35">
        <f t="shared" si="0"/>
        <v>9890</v>
      </c>
      <c r="L17" s="16">
        <f>(((150*8*3)/27)/10)*2500</f>
        <v>33333.333333333336</v>
      </c>
      <c r="M17" s="35">
        <f t="shared" si="2"/>
        <v>54663.333333333336</v>
      </c>
    </row>
    <row r="18" spans="1:13" x14ac:dyDescent="0.25">
      <c r="A18" s="19">
        <v>5.0599999999999996</v>
      </c>
      <c r="B18" s="20" t="s">
        <v>211</v>
      </c>
      <c r="C18" s="10">
        <f>ROUNDUP((M16),-3)</f>
        <v>67000</v>
      </c>
      <c r="D18" s="14"/>
      <c r="G18" s="3" t="s">
        <v>39</v>
      </c>
      <c r="H18" s="18">
        <v>4</v>
      </c>
      <c r="I18" s="12" t="s">
        <v>174</v>
      </c>
      <c r="J18" s="35">
        <f t="shared" si="1"/>
        <v>22880</v>
      </c>
      <c r="K18" s="35">
        <f t="shared" si="0"/>
        <v>19780</v>
      </c>
      <c r="L18" s="16">
        <f>(75*100)+7500</f>
        <v>15000</v>
      </c>
      <c r="M18" s="35">
        <f>SUM(J18:L18)</f>
        <v>57660</v>
      </c>
    </row>
    <row r="19" spans="1:13" x14ac:dyDescent="0.25">
      <c r="A19" s="19">
        <v>5.07</v>
      </c>
      <c r="B19" s="20" t="s">
        <v>210</v>
      </c>
      <c r="C19" s="10">
        <f>ROUNDUP((M17),-3)</f>
        <v>55000</v>
      </c>
      <c r="D19" s="14"/>
      <c r="G19" s="3" t="s">
        <v>201</v>
      </c>
      <c r="H19" s="12">
        <f>SUM(H13:H18)</f>
        <v>25</v>
      </c>
      <c r="I19" s="15" t="s">
        <v>174</v>
      </c>
      <c r="J19" s="35"/>
      <c r="K19" s="35"/>
      <c r="L19" s="3"/>
      <c r="M19" s="3"/>
    </row>
    <row r="20" spans="1:13" x14ac:dyDescent="0.25">
      <c r="A20" s="19">
        <v>5.08</v>
      </c>
      <c r="B20" s="20" t="s">
        <v>212</v>
      </c>
      <c r="C20" s="10">
        <f>ROUNDUP((M18),-3)</f>
        <v>58000</v>
      </c>
      <c r="D20" s="14"/>
      <c r="G20" s="3"/>
      <c r="H20" s="3"/>
      <c r="I20" s="3"/>
      <c r="J20" s="3"/>
      <c r="K20" s="3"/>
      <c r="L20" s="3"/>
      <c r="M20" s="3"/>
    </row>
    <row r="21" spans="1:13" x14ac:dyDescent="0.25">
      <c r="A21" s="49">
        <v>5.09</v>
      </c>
      <c r="B21" s="24" t="s">
        <v>213</v>
      </c>
      <c r="C21" s="50">
        <v>25000</v>
      </c>
      <c r="D21" s="51"/>
      <c r="G21" s="3"/>
      <c r="H21" s="3"/>
      <c r="I21" s="3"/>
      <c r="J21" s="3"/>
      <c r="K21" s="3"/>
      <c r="L21" s="3"/>
      <c r="M21" s="3"/>
    </row>
    <row r="22" spans="1:13" ht="15.75" thickBot="1" x14ac:dyDescent="0.3">
      <c r="A22" s="27">
        <v>6.01</v>
      </c>
      <c r="B22" s="28" t="s">
        <v>55</v>
      </c>
      <c r="C22" s="29">
        <f>ROUND((C3*0.15),-3)</f>
        <v>5000</v>
      </c>
      <c r="D22" s="30"/>
      <c r="G22" s="3"/>
      <c r="H22" s="3"/>
      <c r="I22" s="3"/>
      <c r="J22" s="3"/>
      <c r="K22" s="3"/>
      <c r="L22" s="3"/>
      <c r="M22" s="3"/>
    </row>
    <row r="23" spans="1:13" ht="15.75" thickTop="1" x14ac:dyDescent="0.25">
      <c r="A23" s="31"/>
      <c r="B23" s="32" t="s">
        <v>56</v>
      </c>
      <c r="C23" s="33">
        <f>ROUND((SUM(C3:C22)),-4)</f>
        <v>820000</v>
      </c>
      <c r="D23" s="33">
        <f>SUM(D3:D22)</f>
        <v>0</v>
      </c>
      <c r="G23" s="3"/>
      <c r="H23" s="3"/>
      <c r="I23" s="3"/>
      <c r="J23" s="3"/>
      <c r="K23" s="3"/>
      <c r="L23" s="3"/>
      <c r="M23" s="3"/>
    </row>
    <row r="24" spans="1:13" x14ac:dyDescent="0.25">
      <c r="G24" s="3"/>
      <c r="H24" s="3"/>
      <c r="I24" s="3"/>
      <c r="J24" s="3"/>
      <c r="K24" s="3"/>
      <c r="L24" s="3"/>
      <c r="M24" s="3"/>
    </row>
  </sheetData>
  <mergeCells count="2">
    <mergeCell ref="C2:D2"/>
    <mergeCell ref="G2:H2"/>
  </mergeCells>
  <hyperlinks>
    <hyperlink ref="A1" location="'Matrix+Cover Sheet'!B41" display="Cover Sheet" xr:uid="{DF0F91CE-161A-4892-A581-21E902A5998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98C5D-CE5C-46D2-A775-EBEFE23D8F72}">
  <dimension ref="A1:O23"/>
  <sheetViews>
    <sheetView workbookViewId="0"/>
  </sheetViews>
  <sheetFormatPr defaultRowHeight="15" x14ac:dyDescent="0.25"/>
  <cols>
    <col min="1" max="1" width="18" bestFit="1" customWidth="1"/>
    <col min="2" max="2" width="52.42578125" bestFit="1" customWidth="1"/>
    <col min="3" max="3" width="11.5703125" bestFit="1" customWidth="1"/>
    <col min="4" max="4" width="6.140625" bestFit="1" customWidth="1"/>
    <col min="5" max="5" width="58.42578125" bestFit="1" customWidth="1"/>
    <col min="7" max="7" width="23.28515625" bestFit="1" customWidth="1"/>
    <col min="8" max="8" width="8.28515625" bestFit="1" customWidth="1"/>
    <col min="9" max="9" width="19.140625" bestFit="1" customWidth="1"/>
    <col min="10" max="10" width="4.7109375" bestFit="1" customWidth="1"/>
    <col min="11" max="11" width="9.85546875" bestFit="1" customWidth="1"/>
    <col min="12" max="13" width="4.7109375" bestFit="1" customWidth="1"/>
    <col min="14" max="14" width="9.85546875" bestFit="1" customWidth="1"/>
  </cols>
  <sheetData>
    <row r="1" spans="1:1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4" t="s">
        <v>2</v>
      </c>
      <c r="B2" s="5" t="s">
        <v>214</v>
      </c>
      <c r="C2" s="121" t="s">
        <v>3</v>
      </c>
      <c r="D2" s="122"/>
      <c r="G2" s="123" t="s">
        <v>11</v>
      </c>
      <c r="H2" s="123"/>
      <c r="I2" s="3"/>
      <c r="J2" s="3"/>
      <c r="K2" s="3"/>
      <c r="L2" s="3"/>
      <c r="M2" s="3"/>
      <c r="N2" s="3"/>
      <c r="O2" s="13"/>
    </row>
    <row r="3" spans="1:15" x14ac:dyDescent="0.25">
      <c r="A3" s="8">
        <v>1.01</v>
      </c>
      <c r="B3" s="9" t="s">
        <v>12</v>
      </c>
      <c r="C3" s="17">
        <f>ROUND((SUM(C13:C20)*0.05),-3)</f>
        <v>187000</v>
      </c>
      <c r="D3" s="11"/>
      <c r="E3" t="s">
        <v>215</v>
      </c>
      <c r="G3" s="3"/>
      <c r="H3" s="3"/>
      <c r="I3" s="3"/>
      <c r="J3" s="3"/>
      <c r="K3" s="3"/>
      <c r="L3" s="3"/>
      <c r="M3" s="3"/>
      <c r="N3" s="3"/>
      <c r="O3" s="13"/>
    </row>
    <row r="4" spans="1:15" x14ac:dyDescent="0.25">
      <c r="A4" s="8">
        <v>1.02</v>
      </c>
      <c r="B4" s="9" t="s">
        <v>15</v>
      </c>
      <c r="C4" s="10">
        <f>ROUND((SUM(C13:C20)*0.05),-3)</f>
        <v>187000</v>
      </c>
      <c r="D4" s="14"/>
      <c r="E4" t="s">
        <v>216</v>
      </c>
      <c r="G4" s="3"/>
      <c r="H4" s="3" t="s">
        <v>4</v>
      </c>
      <c r="I4" s="6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13"/>
    </row>
    <row r="5" spans="1:15" x14ac:dyDescent="0.25">
      <c r="A5" s="8">
        <v>2.0099999999999998</v>
      </c>
      <c r="B5" s="9" t="s">
        <v>18</v>
      </c>
      <c r="C5" s="17">
        <v>50000</v>
      </c>
      <c r="D5" s="14"/>
      <c r="E5" t="s">
        <v>217</v>
      </c>
      <c r="G5" s="3" t="s">
        <v>218</v>
      </c>
      <c r="H5" s="52"/>
      <c r="I5" s="52"/>
      <c r="J5" s="52"/>
      <c r="K5" s="52">
        <v>2500</v>
      </c>
      <c r="L5" s="52"/>
      <c r="M5" s="52"/>
      <c r="N5" s="52">
        <v>3000</v>
      </c>
      <c r="O5" s="13"/>
    </row>
    <row r="6" spans="1:15" x14ac:dyDescent="0.25">
      <c r="A6" s="8">
        <v>2.02</v>
      </c>
      <c r="B6" s="9" t="s">
        <v>22</v>
      </c>
      <c r="C6" s="10">
        <f>2500+2500+5000+5000</f>
        <v>15000</v>
      </c>
      <c r="D6" s="14"/>
      <c r="G6" s="3" t="s">
        <v>219</v>
      </c>
      <c r="H6" s="16">
        <v>15000</v>
      </c>
      <c r="I6" s="3"/>
      <c r="J6" s="3"/>
      <c r="K6" s="3"/>
      <c r="L6" s="3"/>
      <c r="M6" s="3"/>
      <c r="N6" s="3"/>
      <c r="O6" s="3"/>
    </row>
    <row r="7" spans="1:15" x14ac:dyDescent="0.25">
      <c r="A7" s="19">
        <v>3.01</v>
      </c>
      <c r="B7" s="9" t="s">
        <v>25</v>
      </c>
      <c r="C7" s="10">
        <f>ROUND((SUM(C13:C20)*0.1),-3)</f>
        <v>374000</v>
      </c>
      <c r="D7" s="14"/>
      <c r="G7" s="3" t="s">
        <v>220</v>
      </c>
      <c r="H7" s="16">
        <v>20000</v>
      </c>
      <c r="I7" s="3"/>
      <c r="J7" s="3"/>
      <c r="K7" s="3"/>
      <c r="L7" s="3"/>
      <c r="M7" s="3"/>
      <c r="N7" s="3"/>
      <c r="O7" s="3"/>
    </row>
    <row r="8" spans="1:15" x14ac:dyDescent="0.25">
      <c r="A8" s="19">
        <v>3.02</v>
      </c>
      <c r="B8" s="9" t="s">
        <v>29</v>
      </c>
      <c r="C8" s="10">
        <f>ROUND((SUM(C13:C20)*0.05),-3)</f>
        <v>187000</v>
      </c>
      <c r="D8" s="14"/>
      <c r="G8" s="3" t="s">
        <v>174</v>
      </c>
      <c r="H8" s="7">
        <v>20</v>
      </c>
      <c r="I8" s="3"/>
      <c r="J8" s="3"/>
      <c r="K8" s="3"/>
      <c r="L8" s="3"/>
      <c r="M8" s="3"/>
      <c r="N8" s="3"/>
      <c r="O8" s="3"/>
    </row>
    <row r="9" spans="1:15" x14ac:dyDescent="0.25">
      <c r="A9" s="19">
        <v>3.03</v>
      </c>
      <c r="B9" s="9" t="s">
        <v>33</v>
      </c>
      <c r="C9" s="17">
        <f>ROUNDUP((H8*H9),-3)</f>
        <v>36000</v>
      </c>
      <c r="D9" s="14"/>
      <c r="G9" s="3" t="s">
        <v>33</v>
      </c>
      <c r="H9" s="16">
        <f>(160*8)+(160*1.5*2)</f>
        <v>1760</v>
      </c>
      <c r="I9" s="3"/>
      <c r="J9" s="3"/>
      <c r="K9" s="3"/>
      <c r="L9" s="3"/>
      <c r="M9" s="3"/>
      <c r="N9" s="3"/>
      <c r="O9" s="3"/>
    </row>
    <row r="10" spans="1:15" x14ac:dyDescent="0.25">
      <c r="A10" s="19">
        <v>3.04</v>
      </c>
      <c r="B10" s="9" t="s">
        <v>36</v>
      </c>
      <c r="C10" s="10">
        <v>200000</v>
      </c>
      <c r="D10" s="14"/>
      <c r="G10" s="3" t="s">
        <v>72</v>
      </c>
      <c r="H10" s="16">
        <v>750</v>
      </c>
      <c r="I10" s="3" t="s">
        <v>221</v>
      </c>
      <c r="J10" s="3"/>
      <c r="K10" s="3"/>
      <c r="L10" s="3"/>
      <c r="M10" s="3"/>
      <c r="N10" s="3"/>
      <c r="O10" s="3"/>
    </row>
    <row r="11" spans="1:15" x14ac:dyDescent="0.25">
      <c r="A11" s="19">
        <v>4.01</v>
      </c>
      <c r="B11" s="9" t="s">
        <v>39</v>
      </c>
      <c r="C11" s="17">
        <v>50000</v>
      </c>
      <c r="D11" s="14"/>
      <c r="E11" t="s">
        <v>222</v>
      </c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 s="19">
        <v>4.0199999999999996</v>
      </c>
      <c r="B12" s="9" t="s">
        <v>42</v>
      </c>
      <c r="C12" s="10">
        <v>0</v>
      </c>
      <c r="D12" s="14"/>
      <c r="E12" t="s">
        <v>223</v>
      </c>
      <c r="G12" s="3"/>
      <c r="H12" s="3" t="s">
        <v>4</v>
      </c>
      <c r="I12" s="6" t="s">
        <v>5</v>
      </c>
      <c r="J12" s="3" t="s">
        <v>6</v>
      </c>
      <c r="K12" s="3" t="s">
        <v>7</v>
      </c>
      <c r="L12" s="3" t="s">
        <v>8</v>
      </c>
      <c r="M12" s="3" t="s">
        <v>9</v>
      </c>
      <c r="N12" s="3" t="s">
        <v>10</v>
      </c>
      <c r="O12" s="3"/>
    </row>
    <row r="13" spans="1:15" x14ac:dyDescent="0.25">
      <c r="A13" s="19">
        <v>5.01</v>
      </c>
      <c r="B13" s="20" t="s">
        <v>45</v>
      </c>
      <c r="C13" s="50">
        <f>ROUND((SUM(C14:C20)*0.05),-3)</f>
        <v>178000</v>
      </c>
      <c r="D13" s="14"/>
      <c r="G13" s="3" t="s">
        <v>224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f>200+395+400</f>
        <v>995</v>
      </c>
      <c r="O13" s="3"/>
    </row>
    <row r="14" spans="1:15" x14ac:dyDescent="0.25">
      <c r="A14" s="19">
        <v>5.0199999999999996</v>
      </c>
      <c r="B14" s="20" t="s">
        <v>72</v>
      </c>
      <c r="C14" s="25">
        <f>ROUND(((H10*H8)+(5000*3)),-3)</f>
        <v>30000</v>
      </c>
      <c r="D14" s="14"/>
      <c r="E14" t="s">
        <v>225</v>
      </c>
      <c r="G14" s="3" t="s">
        <v>226</v>
      </c>
      <c r="H14" s="12">
        <f>H13*2</f>
        <v>0</v>
      </c>
      <c r="I14" s="12">
        <f t="shared" ref="I14:M14" si="0">I13*2</f>
        <v>0</v>
      </c>
      <c r="J14" s="12">
        <f t="shared" si="0"/>
        <v>0</v>
      </c>
      <c r="K14" s="12">
        <v>0</v>
      </c>
      <c r="L14" s="12">
        <f t="shared" si="0"/>
        <v>0</v>
      </c>
      <c r="M14" s="12">
        <f t="shared" si="0"/>
        <v>0</v>
      </c>
      <c r="N14" s="12">
        <f>200+395+400</f>
        <v>995</v>
      </c>
      <c r="O14" s="3"/>
    </row>
    <row r="15" spans="1:15" x14ac:dyDescent="0.25">
      <c r="A15" s="19">
        <v>5.03</v>
      </c>
      <c r="B15" s="20" t="s">
        <v>179</v>
      </c>
      <c r="C15" s="25">
        <f>ROUNDUP((((4*4*110*8)+((3*8*2*2*110)+(3*4*2*2*110*1.5)))+35000),-3)</f>
        <v>68000</v>
      </c>
      <c r="D15" s="14"/>
      <c r="E15" t="s">
        <v>227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19">
        <v>5.04</v>
      </c>
      <c r="B16" s="20" t="s">
        <v>228</v>
      </c>
      <c r="C16" s="25">
        <f>ROUNDUP((2*H7),-3)</f>
        <v>40000</v>
      </c>
      <c r="D16" s="14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9">
        <v>5.05</v>
      </c>
      <c r="B17" s="20" t="s">
        <v>229</v>
      </c>
      <c r="C17" s="25">
        <v>25000</v>
      </c>
      <c r="D17" s="14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19">
        <v>5.0599999999999996</v>
      </c>
      <c r="B18" s="20" t="s">
        <v>230</v>
      </c>
      <c r="C18" s="25">
        <f>ROUNDUP((((N14+50+50)*65)+(2*1000)+(2*2000)),-3)</f>
        <v>78000</v>
      </c>
      <c r="D18" s="14"/>
      <c r="E18" t="s">
        <v>231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19">
        <v>5.07</v>
      </c>
      <c r="B19" s="20" t="s">
        <v>232</v>
      </c>
      <c r="C19" s="25">
        <f>ROUNDUP(((N13+50+50)*N5),-3)</f>
        <v>3285000</v>
      </c>
      <c r="D19" s="14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49">
        <v>5.08</v>
      </c>
      <c r="B20" s="24" t="s">
        <v>233</v>
      </c>
      <c r="C20" s="25">
        <f>ROUNDUP((2*H7),-3)</f>
        <v>40000</v>
      </c>
      <c r="D20" s="51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thickBot="1" x14ac:dyDescent="0.3">
      <c r="A21" s="27">
        <v>6.01</v>
      </c>
      <c r="B21" s="28" t="s">
        <v>55</v>
      </c>
      <c r="C21" s="29">
        <f>ROUND((C3*0.15),-3)</f>
        <v>28000</v>
      </c>
      <c r="D21" s="30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thickTop="1" x14ac:dyDescent="0.25">
      <c r="A22" s="31"/>
      <c r="B22" s="32" t="s">
        <v>56</v>
      </c>
      <c r="C22" s="33">
        <f>ROUND((SUM(C3:C21)),-4)</f>
        <v>5060000</v>
      </c>
      <c r="D22" s="33">
        <f>ROUND((SUM(D3:D21)),-4)</f>
        <v>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G23" s="3"/>
      <c r="H23" s="3"/>
      <c r="I23" s="3"/>
      <c r="J23" s="3"/>
      <c r="K23" s="3"/>
      <c r="L23" s="3"/>
      <c r="M23" s="3"/>
      <c r="N23" s="3"/>
      <c r="O23" s="3"/>
    </row>
  </sheetData>
  <mergeCells count="2">
    <mergeCell ref="C2:D2"/>
    <mergeCell ref="G2:H2"/>
  </mergeCells>
  <hyperlinks>
    <hyperlink ref="A1" location="'Matrix+Cover Sheet'!B41" display="Cover Sheet" xr:uid="{CBE18088-9B5C-4196-AD82-49E37B59DB9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8E11-BE90-4007-A87B-87A95DF52D98}">
  <dimension ref="A1:O26"/>
  <sheetViews>
    <sheetView workbookViewId="0"/>
  </sheetViews>
  <sheetFormatPr defaultRowHeight="15" x14ac:dyDescent="0.25"/>
  <cols>
    <col min="1" max="1" width="18" bestFit="1" customWidth="1"/>
    <col min="2" max="2" width="52.42578125" bestFit="1" customWidth="1"/>
    <col min="3" max="3" width="11.5703125" bestFit="1" customWidth="1"/>
    <col min="4" max="4" width="6.140625" bestFit="1" customWidth="1"/>
    <col min="5" max="5" width="83.140625" bestFit="1" customWidth="1"/>
    <col min="7" max="7" width="17.42578125" bestFit="1" customWidth="1"/>
    <col min="8" max="8" width="8.28515625" bestFit="1" customWidth="1"/>
    <col min="9" max="9" width="9.5703125" bestFit="1" customWidth="1"/>
    <col min="10" max="10" width="4.7109375" bestFit="1" customWidth="1"/>
    <col min="11" max="11" width="7.28515625" bestFit="1" customWidth="1"/>
    <col min="12" max="14" width="4.7109375" bestFit="1" customWidth="1"/>
  </cols>
  <sheetData>
    <row r="1" spans="1:1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4" t="s">
        <v>2</v>
      </c>
      <c r="B2" s="5" t="s">
        <v>234</v>
      </c>
      <c r="C2" s="121" t="s">
        <v>3</v>
      </c>
      <c r="D2" s="122"/>
      <c r="G2" s="123" t="s">
        <v>11</v>
      </c>
      <c r="H2" s="123"/>
      <c r="I2" s="3"/>
      <c r="J2" s="3"/>
      <c r="K2" s="3"/>
      <c r="L2" s="3"/>
      <c r="M2" s="3"/>
      <c r="N2" s="3"/>
      <c r="O2" s="13"/>
    </row>
    <row r="3" spans="1:15" x14ac:dyDescent="0.25">
      <c r="A3" s="8">
        <v>1.01</v>
      </c>
      <c r="B3" s="9" t="s">
        <v>12</v>
      </c>
      <c r="C3" s="17">
        <f>ROUND((SUM(C14:C20)*0.1),-3)</f>
        <v>114000</v>
      </c>
      <c r="D3" s="11"/>
      <c r="E3" t="s">
        <v>235</v>
      </c>
      <c r="G3" s="3"/>
      <c r="H3" s="3"/>
      <c r="I3" s="3"/>
      <c r="J3" s="3"/>
      <c r="K3" s="3"/>
      <c r="L3" s="3"/>
      <c r="M3" s="3"/>
      <c r="N3" s="3"/>
      <c r="O3" s="13"/>
    </row>
    <row r="4" spans="1:15" x14ac:dyDescent="0.25">
      <c r="A4" s="8">
        <v>1.02</v>
      </c>
      <c r="B4" s="9" t="s">
        <v>15</v>
      </c>
      <c r="C4" s="10">
        <f>ROUND((SUM(C14:C20)*0.15),-3)</f>
        <v>171000</v>
      </c>
      <c r="D4" s="22"/>
      <c r="E4" t="s">
        <v>236</v>
      </c>
      <c r="G4" s="3"/>
      <c r="H4" s="3" t="s">
        <v>4</v>
      </c>
      <c r="I4" s="6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13"/>
    </row>
    <row r="5" spans="1:15" x14ac:dyDescent="0.25">
      <c r="A5" s="8">
        <v>2.0099999999999998</v>
      </c>
      <c r="B5" s="9" t="s">
        <v>18</v>
      </c>
      <c r="C5" s="17">
        <v>50000</v>
      </c>
      <c r="D5" s="22"/>
      <c r="G5" s="3" t="s">
        <v>218</v>
      </c>
      <c r="H5" s="52"/>
      <c r="I5" s="52"/>
      <c r="J5" s="52"/>
      <c r="K5" s="16">
        <v>2500</v>
      </c>
      <c r="L5" s="52"/>
      <c r="M5" s="52"/>
      <c r="N5" s="52"/>
      <c r="O5" s="13"/>
    </row>
    <row r="6" spans="1:15" x14ac:dyDescent="0.25">
      <c r="A6" s="8">
        <v>2.02</v>
      </c>
      <c r="B6" s="9" t="s">
        <v>22</v>
      </c>
      <c r="C6" s="10">
        <v>35000</v>
      </c>
      <c r="D6" s="22"/>
      <c r="E6" t="s">
        <v>237</v>
      </c>
      <c r="G6" s="3" t="s">
        <v>219</v>
      </c>
      <c r="H6" s="16">
        <v>20000</v>
      </c>
      <c r="I6" s="3"/>
      <c r="J6" s="3"/>
      <c r="K6" s="3"/>
      <c r="L6" s="3"/>
      <c r="M6" s="3"/>
      <c r="N6" s="3"/>
      <c r="O6" s="3"/>
    </row>
    <row r="7" spans="1:15" x14ac:dyDescent="0.25">
      <c r="A7" s="19">
        <v>3.01</v>
      </c>
      <c r="B7" s="9" t="s">
        <v>25</v>
      </c>
      <c r="C7" s="10">
        <f>ROUND((SUM(C14:C20)*0.1),-3)</f>
        <v>114000</v>
      </c>
      <c r="D7" s="22"/>
      <c r="E7" t="s">
        <v>83</v>
      </c>
      <c r="G7" s="3" t="s">
        <v>174</v>
      </c>
      <c r="H7" s="7">
        <v>40</v>
      </c>
      <c r="I7" s="3" t="s">
        <v>238</v>
      </c>
      <c r="J7" s="3"/>
      <c r="K7" s="3"/>
      <c r="L7" s="3"/>
      <c r="M7" s="3"/>
      <c r="N7" s="3"/>
      <c r="O7" s="3"/>
    </row>
    <row r="8" spans="1:15" x14ac:dyDescent="0.25">
      <c r="A8" s="19">
        <v>3.02</v>
      </c>
      <c r="B8" s="9" t="s">
        <v>29</v>
      </c>
      <c r="C8" s="10">
        <f>ROUND((SUM(C14:C20)*0.05),-3)</f>
        <v>57000</v>
      </c>
      <c r="D8" s="53"/>
      <c r="E8" t="s">
        <v>68</v>
      </c>
      <c r="G8" s="3" t="s">
        <v>33</v>
      </c>
      <c r="H8" s="16">
        <f>(160*8)+(160*1.5*2)</f>
        <v>1760</v>
      </c>
      <c r="I8" s="3"/>
      <c r="J8" s="3"/>
      <c r="K8" s="3"/>
      <c r="L8" s="3"/>
      <c r="M8" s="3"/>
      <c r="N8" s="3"/>
      <c r="O8" s="3"/>
    </row>
    <row r="9" spans="1:15" x14ac:dyDescent="0.25">
      <c r="A9" s="19">
        <v>3.03</v>
      </c>
      <c r="B9" s="9" t="s">
        <v>33</v>
      </c>
      <c r="C9" s="17">
        <f>ROUND((H7*$H$8),-3)</f>
        <v>70000</v>
      </c>
      <c r="D9" s="53"/>
      <c r="E9" t="s">
        <v>34</v>
      </c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19">
        <v>3.04</v>
      </c>
      <c r="B10" s="9" t="s">
        <v>36</v>
      </c>
      <c r="C10" s="10">
        <v>50000</v>
      </c>
      <c r="D10" s="22"/>
      <c r="E10" t="s">
        <v>239</v>
      </c>
      <c r="G10" s="3"/>
      <c r="H10" s="3" t="s">
        <v>4</v>
      </c>
      <c r="I10" s="6" t="s">
        <v>5</v>
      </c>
      <c r="J10" s="3" t="s">
        <v>6</v>
      </c>
      <c r="K10" s="3" t="s">
        <v>7</v>
      </c>
      <c r="L10" s="3" t="s">
        <v>8</v>
      </c>
      <c r="M10" s="3" t="s">
        <v>9</v>
      </c>
      <c r="N10" s="3" t="s">
        <v>10</v>
      </c>
      <c r="O10" s="3"/>
    </row>
    <row r="11" spans="1:15" x14ac:dyDescent="0.25">
      <c r="A11" s="19">
        <v>4.01</v>
      </c>
      <c r="B11" s="9" t="s">
        <v>39</v>
      </c>
      <c r="C11" s="17">
        <v>40000</v>
      </c>
      <c r="D11" s="22"/>
      <c r="G11" s="3" t="s">
        <v>224</v>
      </c>
      <c r="H11" s="12">
        <v>0</v>
      </c>
      <c r="I11" s="12">
        <v>0</v>
      </c>
      <c r="J11" s="12">
        <v>0</v>
      </c>
      <c r="K11" s="12">
        <f>50+250+50</f>
        <v>350</v>
      </c>
      <c r="L11" s="12">
        <v>0</v>
      </c>
      <c r="M11" s="12">
        <v>0</v>
      </c>
      <c r="N11" s="12">
        <v>0</v>
      </c>
      <c r="O11" s="3"/>
    </row>
    <row r="12" spans="1:15" x14ac:dyDescent="0.25">
      <c r="A12" s="19">
        <v>4.0199999999999996</v>
      </c>
      <c r="B12" s="9" t="s">
        <v>42</v>
      </c>
      <c r="C12" s="10">
        <f>ROUND(((50*150*3*200000/43560)),-3)</f>
        <v>103000</v>
      </c>
      <c r="D12" s="26"/>
      <c r="E12" s="2" t="s">
        <v>240</v>
      </c>
      <c r="G12" s="3" t="s">
        <v>226</v>
      </c>
      <c r="H12" s="12">
        <f>H11*2</f>
        <v>0</v>
      </c>
      <c r="I12" s="12">
        <f t="shared" ref="I12:N12" si="0">I11*2</f>
        <v>0</v>
      </c>
      <c r="J12" s="12">
        <f t="shared" si="0"/>
        <v>0</v>
      </c>
      <c r="K12" s="12">
        <f t="shared" si="0"/>
        <v>700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3"/>
    </row>
    <row r="13" spans="1:15" x14ac:dyDescent="0.25">
      <c r="A13" s="19">
        <v>5.01</v>
      </c>
      <c r="B13" s="9" t="s">
        <v>45</v>
      </c>
      <c r="C13" s="50">
        <f>ROUND((SUM(C14:C20)*0.05),-3)</f>
        <v>57000</v>
      </c>
      <c r="D13" s="26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19">
        <v>5.0199999999999996</v>
      </c>
      <c r="B14" s="20" t="s">
        <v>179</v>
      </c>
      <c r="C14" s="25">
        <f>ROUND((4*H6),-3)</f>
        <v>80000</v>
      </c>
      <c r="D14" s="26"/>
      <c r="E14" t="s">
        <v>241</v>
      </c>
      <c r="G14" s="3" t="s">
        <v>242</v>
      </c>
      <c r="H14" s="16">
        <v>5000</v>
      </c>
      <c r="I14" s="3"/>
      <c r="J14" s="3"/>
      <c r="K14" s="3"/>
      <c r="L14" s="3"/>
      <c r="M14" s="3"/>
      <c r="N14" s="3"/>
      <c r="O14" s="3"/>
    </row>
    <row r="15" spans="1:15" x14ac:dyDescent="0.25">
      <c r="A15" s="19">
        <v>5.03</v>
      </c>
      <c r="B15" s="20" t="s">
        <v>72</v>
      </c>
      <c r="C15" s="25">
        <f>5*H14</f>
        <v>25000</v>
      </c>
      <c r="D15" s="26"/>
      <c r="E15" t="s">
        <v>243</v>
      </c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5">
      <c r="A16" s="19">
        <v>5.04</v>
      </c>
      <c r="B16" s="20" t="s">
        <v>228</v>
      </c>
      <c r="C16" s="25">
        <f>ROUND((2*H6),-3)</f>
        <v>40000</v>
      </c>
      <c r="D16" s="26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5">
      <c r="A17" s="19">
        <v>5.05</v>
      </c>
      <c r="B17" s="20" t="s">
        <v>229</v>
      </c>
      <c r="C17" s="25">
        <v>40000</v>
      </c>
      <c r="D17" s="26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19">
        <v>5.0599999999999996</v>
      </c>
      <c r="B18" s="20" t="s">
        <v>230</v>
      </c>
      <c r="C18" s="25">
        <f>ROUNDUP(((K12*40)+(2*1000)+(2*2000)),-4)</f>
        <v>40000</v>
      </c>
      <c r="D18" s="26"/>
      <c r="E18" t="s">
        <v>244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19">
        <v>5.07</v>
      </c>
      <c r="B19" s="20" t="s">
        <v>245</v>
      </c>
      <c r="C19" s="25">
        <f>ROUND((K11*K5),-3)</f>
        <v>875000</v>
      </c>
      <c r="D19" s="26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19">
        <v>5.08</v>
      </c>
      <c r="B20" s="24" t="s">
        <v>233</v>
      </c>
      <c r="C20" s="25">
        <f>ROUNDUP((2*H6),-4)</f>
        <v>40000</v>
      </c>
      <c r="D20" s="26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thickBot="1" x14ac:dyDescent="0.3">
      <c r="A21" s="27">
        <v>6.01</v>
      </c>
      <c r="B21" s="28" t="s">
        <v>55</v>
      </c>
      <c r="C21" s="29">
        <f>ROUND((C3*0.15),-3)</f>
        <v>17000</v>
      </c>
      <c r="D21" s="30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thickTop="1" x14ac:dyDescent="0.25">
      <c r="A22" s="31"/>
      <c r="B22" s="32" t="s">
        <v>56</v>
      </c>
      <c r="C22" s="33">
        <f>ROUND((SUM(C3:C21)),-4)</f>
        <v>2020000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G26" s="3"/>
      <c r="H26" s="3"/>
      <c r="I26" s="3"/>
      <c r="J26" s="3"/>
      <c r="K26" s="3"/>
      <c r="L26" s="3"/>
      <c r="M26" s="3"/>
      <c r="N26" s="3"/>
      <c r="O26" s="3"/>
    </row>
  </sheetData>
  <mergeCells count="2">
    <mergeCell ref="C2:D2"/>
    <mergeCell ref="G2:H2"/>
  </mergeCells>
  <hyperlinks>
    <hyperlink ref="A1" location="'Matrix+Cover Sheet'!B41" display="Cover Sheet" xr:uid="{E0B48BA3-7C4E-49F7-AE22-36C066A0C34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4F3C-D747-4A16-9E23-F88B775C761E}">
  <dimension ref="A1:W31"/>
  <sheetViews>
    <sheetView workbookViewId="0"/>
  </sheetViews>
  <sheetFormatPr defaultRowHeight="15" x14ac:dyDescent="0.25"/>
  <cols>
    <col min="1" max="1" width="18" bestFit="1" customWidth="1"/>
    <col min="2" max="2" width="52.42578125" bestFit="1" customWidth="1"/>
    <col min="3" max="3" width="11.5703125" bestFit="1" customWidth="1"/>
    <col min="4" max="4" width="6.140625" bestFit="1" customWidth="1"/>
    <col min="5" max="5" width="75.7109375" bestFit="1" customWidth="1"/>
    <col min="7" max="7" width="12.140625" bestFit="1" customWidth="1"/>
    <col min="8" max="8" width="6.7109375" bestFit="1" customWidth="1"/>
    <col min="9" max="9" width="12.7109375" bestFit="1" customWidth="1"/>
    <col min="10" max="10" width="4.42578125" bestFit="1" customWidth="1"/>
    <col min="11" max="11" width="10.42578125" bestFit="1" customWidth="1"/>
    <col min="12" max="12" width="7.28515625" bestFit="1" customWidth="1"/>
    <col min="13" max="13" width="9.7109375" bestFit="1" customWidth="1"/>
    <col min="15" max="15" width="23.28515625" bestFit="1" customWidth="1"/>
    <col min="16" max="16" width="8.28515625" bestFit="1" customWidth="1"/>
    <col min="17" max="17" width="9.5703125" bestFit="1" customWidth="1"/>
    <col min="18" max="18" width="4.7109375" bestFit="1" customWidth="1"/>
    <col min="19" max="20" width="9.85546875" bestFit="1" customWidth="1"/>
    <col min="21" max="22" width="4.7109375" bestFit="1" customWidth="1"/>
  </cols>
  <sheetData>
    <row r="1" spans="1:23" x14ac:dyDescent="0.25">
      <c r="A1" s="1" t="s">
        <v>404</v>
      </c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4" t="s">
        <v>2</v>
      </c>
      <c r="B2" s="5" t="s">
        <v>246</v>
      </c>
      <c r="C2" s="121" t="s">
        <v>3</v>
      </c>
      <c r="D2" s="122"/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O2" s="123" t="s">
        <v>11</v>
      </c>
      <c r="P2" s="123"/>
      <c r="Q2" s="3"/>
      <c r="R2" s="3"/>
      <c r="S2" s="3"/>
      <c r="T2" s="3"/>
      <c r="U2" s="3"/>
      <c r="V2" s="3"/>
      <c r="W2" s="13"/>
    </row>
    <row r="3" spans="1:23" x14ac:dyDescent="0.25">
      <c r="A3" s="8">
        <v>1.01</v>
      </c>
      <c r="B3" s="9" t="s">
        <v>12</v>
      </c>
      <c r="C3" s="17">
        <f>ROUND((SUM(C14:C20)*0.075),-3)</f>
        <v>234000</v>
      </c>
      <c r="D3" s="11"/>
      <c r="E3" t="s">
        <v>253</v>
      </c>
      <c r="G3" s="3" t="s">
        <v>254</v>
      </c>
      <c r="H3">
        <v>85</v>
      </c>
      <c r="I3" s="54">
        <f>H3+25+25</f>
        <v>135</v>
      </c>
      <c r="J3">
        <v>8</v>
      </c>
      <c r="K3" s="54">
        <v>15</v>
      </c>
      <c r="L3">
        <v>2</v>
      </c>
      <c r="M3">
        <f>I3*L3</f>
        <v>270</v>
      </c>
      <c r="O3" s="3"/>
      <c r="P3" s="3"/>
      <c r="Q3" s="3"/>
      <c r="R3" s="3"/>
      <c r="S3" s="3"/>
      <c r="T3" s="3"/>
      <c r="U3" s="3"/>
      <c r="V3" s="3"/>
      <c r="W3" s="13"/>
    </row>
    <row r="4" spans="1:23" x14ac:dyDescent="0.25">
      <c r="A4" s="8">
        <v>1.02</v>
      </c>
      <c r="B4" s="9" t="s">
        <v>15</v>
      </c>
      <c r="C4" s="10">
        <f>ROUND((SUM(C14:C20)*0.15),-3)</f>
        <v>468000</v>
      </c>
      <c r="D4" s="22"/>
      <c r="E4" t="s">
        <v>236</v>
      </c>
      <c r="G4" s="3" t="s">
        <v>255</v>
      </c>
      <c r="H4">
        <v>90</v>
      </c>
      <c r="I4" s="54">
        <f t="shared" ref="I4:I6" si="0">H4+25+25</f>
        <v>140</v>
      </c>
      <c r="J4">
        <v>14</v>
      </c>
      <c r="K4" s="54">
        <v>15</v>
      </c>
      <c r="L4">
        <v>2</v>
      </c>
      <c r="M4">
        <f t="shared" ref="M4:M6" si="1">I4*L4</f>
        <v>280</v>
      </c>
      <c r="O4" s="3"/>
      <c r="P4" s="3" t="s">
        <v>4</v>
      </c>
      <c r="Q4" s="6" t="s">
        <v>5</v>
      </c>
      <c r="R4" s="3" t="s">
        <v>6</v>
      </c>
      <c r="S4" s="3" t="s">
        <v>7</v>
      </c>
      <c r="T4" s="3" t="s">
        <v>8</v>
      </c>
      <c r="U4" s="3" t="s">
        <v>9</v>
      </c>
      <c r="V4" s="3" t="s">
        <v>10</v>
      </c>
      <c r="W4" s="13"/>
    </row>
    <row r="5" spans="1:23" x14ac:dyDescent="0.25">
      <c r="A5" s="8">
        <v>2.0099999999999998</v>
      </c>
      <c r="B5" s="9" t="s">
        <v>18</v>
      </c>
      <c r="C5" s="17">
        <f>4*15000</f>
        <v>60000</v>
      </c>
      <c r="D5" s="22"/>
      <c r="G5" s="3" t="s">
        <v>256</v>
      </c>
      <c r="H5">
        <v>225</v>
      </c>
      <c r="I5" s="54">
        <f t="shared" si="0"/>
        <v>275</v>
      </c>
      <c r="J5">
        <v>14</v>
      </c>
      <c r="K5" s="54">
        <v>15</v>
      </c>
      <c r="L5">
        <v>2</v>
      </c>
      <c r="M5">
        <f t="shared" si="1"/>
        <v>550</v>
      </c>
      <c r="O5" s="3" t="s">
        <v>218</v>
      </c>
      <c r="P5" s="52"/>
      <c r="Q5" s="52"/>
      <c r="R5" s="52"/>
      <c r="S5" s="52">
        <v>2500</v>
      </c>
      <c r="T5" s="52">
        <v>3000</v>
      </c>
      <c r="U5" s="52"/>
      <c r="V5" s="52"/>
      <c r="W5" s="13"/>
    </row>
    <row r="6" spans="1:23" x14ac:dyDescent="0.25">
      <c r="A6" s="8">
        <v>2.02</v>
      </c>
      <c r="B6" s="9" t="s">
        <v>22</v>
      </c>
      <c r="C6" s="10">
        <f>4*25000</f>
        <v>100000</v>
      </c>
      <c r="D6" s="22"/>
      <c r="E6" t="s">
        <v>257</v>
      </c>
      <c r="G6" s="3" t="s">
        <v>258</v>
      </c>
      <c r="H6">
        <v>280</v>
      </c>
      <c r="I6" s="54">
        <f t="shared" si="0"/>
        <v>330</v>
      </c>
      <c r="J6">
        <v>14</v>
      </c>
      <c r="K6" s="54">
        <v>18</v>
      </c>
      <c r="L6">
        <v>2</v>
      </c>
      <c r="M6">
        <f t="shared" si="1"/>
        <v>660</v>
      </c>
      <c r="O6" s="3" t="s">
        <v>219</v>
      </c>
      <c r="P6" s="16">
        <v>15000</v>
      </c>
      <c r="Q6" s="3"/>
      <c r="R6" s="3"/>
      <c r="S6" s="3"/>
      <c r="T6" s="3"/>
      <c r="U6" s="3"/>
      <c r="V6" s="3"/>
      <c r="W6" s="3"/>
    </row>
    <row r="7" spans="1:23" x14ac:dyDescent="0.25">
      <c r="A7" s="19">
        <v>3.01</v>
      </c>
      <c r="B7" s="9" t="s">
        <v>25</v>
      </c>
      <c r="C7" s="10">
        <f>ROUND((SUM(C14:C20)*0.1),-3)</f>
        <v>312000</v>
      </c>
      <c r="D7" s="22"/>
      <c r="E7" t="s">
        <v>83</v>
      </c>
      <c r="G7" s="3" t="s">
        <v>201</v>
      </c>
      <c r="H7">
        <f>SUM(H3:H6)</f>
        <v>680</v>
      </c>
      <c r="I7">
        <f>SUM(I3:I6)</f>
        <v>880</v>
      </c>
      <c r="M7">
        <f>SUM(M3:M6)</f>
        <v>1760</v>
      </c>
      <c r="O7" s="3" t="s">
        <v>220</v>
      </c>
      <c r="P7" s="16">
        <v>20000</v>
      </c>
      <c r="Q7" s="3"/>
      <c r="R7" s="3"/>
      <c r="S7" s="3"/>
      <c r="T7" s="3"/>
      <c r="U7" s="3"/>
      <c r="V7" s="3"/>
      <c r="W7" s="3"/>
    </row>
    <row r="8" spans="1:23" x14ac:dyDescent="0.25">
      <c r="A8" s="19">
        <v>3.02</v>
      </c>
      <c r="B8" s="9" t="s">
        <v>29</v>
      </c>
      <c r="C8" s="10">
        <f>ROUND((SUM(C14:C20)*0.05),-3)</f>
        <v>156000</v>
      </c>
      <c r="D8" s="53"/>
      <c r="E8" t="s">
        <v>68</v>
      </c>
      <c r="O8" s="3" t="s">
        <v>174</v>
      </c>
      <c r="P8" s="7">
        <v>80</v>
      </c>
      <c r="Q8" s="3" t="s">
        <v>238</v>
      </c>
      <c r="R8" s="3"/>
      <c r="S8" s="3"/>
      <c r="T8" s="3"/>
      <c r="U8" s="3"/>
      <c r="V8" s="3"/>
      <c r="W8" s="3"/>
    </row>
    <row r="9" spans="1:23" x14ac:dyDescent="0.25">
      <c r="A9" s="19">
        <v>3.03</v>
      </c>
      <c r="B9" s="9" t="s">
        <v>33</v>
      </c>
      <c r="C9" s="17">
        <f>ROUND((P8*$P$9),-3)</f>
        <v>141000</v>
      </c>
      <c r="D9" s="53"/>
      <c r="E9" t="s">
        <v>34</v>
      </c>
      <c r="H9" s="3"/>
      <c r="O9" s="3" t="s">
        <v>33</v>
      </c>
      <c r="P9" s="16">
        <f>(160*8)+(160*1.5*2)</f>
        <v>1760</v>
      </c>
      <c r="Q9" s="3"/>
      <c r="R9" s="3"/>
      <c r="S9" s="3"/>
      <c r="T9" s="3"/>
      <c r="U9" s="3"/>
      <c r="V9" s="3"/>
      <c r="W9" s="3"/>
    </row>
    <row r="10" spans="1:23" x14ac:dyDescent="0.25">
      <c r="A10" s="19">
        <v>3.04</v>
      </c>
      <c r="B10" s="9" t="s">
        <v>36</v>
      </c>
      <c r="C10" s="10">
        <v>200000</v>
      </c>
      <c r="D10" s="22"/>
      <c r="E10" t="s">
        <v>239</v>
      </c>
      <c r="O10" s="3" t="s">
        <v>259</v>
      </c>
      <c r="P10" s="16">
        <v>2500</v>
      </c>
      <c r="Q10" s="3"/>
      <c r="R10" s="3"/>
      <c r="S10" s="3"/>
      <c r="T10" s="3"/>
      <c r="U10" s="3"/>
      <c r="V10" s="3"/>
      <c r="W10" s="3"/>
    </row>
    <row r="11" spans="1:23" x14ac:dyDescent="0.25">
      <c r="A11" s="19">
        <v>4.01</v>
      </c>
      <c r="B11" s="9" t="s">
        <v>39</v>
      </c>
      <c r="C11" s="17">
        <f>10000*8</f>
        <v>80000</v>
      </c>
      <c r="D11" s="22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9">
        <v>4.0199999999999996</v>
      </c>
      <c r="B12" s="9" t="s">
        <v>42</v>
      </c>
      <c r="C12" s="10">
        <f>ROUND(((50*150*3*8*200000/43560)),-3)</f>
        <v>826000</v>
      </c>
      <c r="D12" s="26"/>
      <c r="E12" s="2" t="s">
        <v>260</v>
      </c>
      <c r="O12" s="3"/>
      <c r="P12" s="3" t="s">
        <v>4</v>
      </c>
      <c r="Q12" s="6" t="s">
        <v>5</v>
      </c>
      <c r="R12" s="3" t="s">
        <v>6</v>
      </c>
      <c r="S12" s="3" t="s">
        <v>7</v>
      </c>
      <c r="T12" s="3" t="s">
        <v>8</v>
      </c>
      <c r="U12" s="3" t="s">
        <v>9</v>
      </c>
      <c r="V12" s="3" t="s">
        <v>10</v>
      </c>
      <c r="W12" s="3"/>
    </row>
    <row r="13" spans="1:23" x14ac:dyDescent="0.25">
      <c r="A13" s="19">
        <v>5.01</v>
      </c>
      <c r="B13" s="9" t="s">
        <v>45</v>
      </c>
      <c r="C13" s="50">
        <f>ROUND((SUM(C14:C20)*0.05),-3)</f>
        <v>156000</v>
      </c>
      <c r="D13" s="26"/>
      <c r="O13" s="3" t="s">
        <v>224</v>
      </c>
      <c r="P13" s="12">
        <v>0</v>
      </c>
      <c r="Q13" s="12">
        <v>0</v>
      </c>
      <c r="R13" s="12">
        <v>0</v>
      </c>
      <c r="S13" s="12">
        <f>I3+I4+I5</f>
        <v>550</v>
      </c>
      <c r="T13" s="12">
        <f>I6</f>
        <v>330</v>
      </c>
      <c r="U13" s="12">
        <v>0</v>
      </c>
      <c r="V13" s="12">
        <v>0</v>
      </c>
      <c r="W13" s="3"/>
    </row>
    <row r="14" spans="1:23" x14ac:dyDescent="0.25">
      <c r="A14" s="19">
        <v>5.0199999999999996</v>
      </c>
      <c r="B14" s="20" t="s">
        <v>179</v>
      </c>
      <c r="C14" s="25">
        <f>ROUND(((2*P7)*4),-3)</f>
        <v>160000</v>
      </c>
      <c r="D14" s="26"/>
      <c r="E14" t="s">
        <v>241</v>
      </c>
      <c r="O14" s="3" t="s">
        <v>226</v>
      </c>
      <c r="P14" s="12">
        <v>0</v>
      </c>
      <c r="Q14" s="12">
        <v>0</v>
      </c>
      <c r="R14" s="12">
        <v>0</v>
      </c>
      <c r="S14" s="12">
        <f>M3+M4+M5</f>
        <v>1100</v>
      </c>
      <c r="T14" s="12">
        <f>M6</f>
        <v>660</v>
      </c>
      <c r="U14" s="12">
        <v>0</v>
      </c>
      <c r="V14" s="12">
        <v>0</v>
      </c>
      <c r="W14" s="3"/>
    </row>
    <row r="15" spans="1:23" x14ac:dyDescent="0.25">
      <c r="A15" s="19">
        <v>5.03</v>
      </c>
      <c r="B15" s="20" t="s">
        <v>72</v>
      </c>
      <c r="C15" s="25">
        <f>P8*P10</f>
        <v>200000</v>
      </c>
      <c r="D15" s="26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19">
        <v>5.04</v>
      </c>
      <c r="B16" s="20" t="s">
        <v>228</v>
      </c>
      <c r="C16" s="25">
        <f>ROUND((2*P7),-3)</f>
        <v>40000</v>
      </c>
      <c r="D16" s="26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A17" s="19">
        <v>5.05</v>
      </c>
      <c r="B17" s="20" t="s">
        <v>229</v>
      </c>
      <c r="C17" s="25">
        <f>10000*8</f>
        <v>80000</v>
      </c>
      <c r="D17" s="26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19">
        <v>5.0599999999999996</v>
      </c>
      <c r="B18" s="20" t="s">
        <v>230</v>
      </c>
      <c r="C18" s="25">
        <f>ROUNDUP(((S14*40)+(T14*50)+(2*1000*4)+(2*2000*4)),-4)</f>
        <v>110000</v>
      </c>
      <c r="D18" s="26"/>
      <c r="E18" t="s">
        <v>261</v>
      </c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19">
        <v>5.07</v>
      </c>
      <c r="B19" s="20" t="s">
        <v>245</v>
      </c>
      <c r="C19" s="25">
        <f>ROUNDUP(((S13*S5)+(T13*T5)),-4)</f>
        <v>2370000</v>
      </c>
      <c r="D19" s="26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19">
        <v>5.08</v>
      </c>
      <c r="B20" s="24" t="s">
        <v>233</v>
      </c>
      <c r="C20" s="25">
        <f>ROUNDUP((4*(2*P7)),-4)</f>
        <v>160000</v>
      </c>
      <c r="D20" s="26"/>
      <c r="E20" t="s">
        <v>262</v>
      </c>
      <c r="O20" s="3"/>
      <c r="P20" s="3"/>
      <c r="Q20" s="3"/>
      <c r="R20" s="3"/>
      <c r="S20" s="3"/>
      <c r="T20" s="3"/>
      <c r="U20" s="3"/>
      <c r="V20" s="3"/>
      <c r="W20" s="3"/>
    </row>
    <row r="21" spans="1:23" ht="15.75" thickBot="1" x14ac:dyDescent="0.3">
      <c r="A21" s="27">
        <v>6.01</v>
      </c>
      <c r="B21" s="28" t="s">
        <v>55</v>
      </c>
      <c r="C21" s="29">
        <f>ROUND((C3*0.15),-3)</f>
        <v>35000</v>
      </c>
      <c r="D21" s="30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thickTop="1" x14ac:dyDescent="0.25">
      <c r="A22" s="31"/>
      <c r="B22" s="32" t="s">
        <v>56</v>
      </c>
      <c r="C22" s="33">
        <f>ROUND((SUM(C3:C21)),-4)</f>
        <v>5890000</v>
      </c>
      <c r="D22" s="33">
        <f>SUM(D3:D21)</f>
        <v>0</v>
      </c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25">
      <c r="O24" s="3"/>
      <c r="P24" s="3"/>
      <c r="Q24" s="3"/>
      <c r="R24" s="3"/>
      <c r="S24" s="3"/>
      <c r="T24" s="3"/>
      <c r="U24" s="3"/>
      <c r="V24" s="3"/>
      <c r="W24" s="3"/>
    </row>
    <row r="25" spans="1:23" x14ac:dyDescent="0.25"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25"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25">
      <c r="O27" s="3"/>
      <c r="P27" s="3"/>
      <c r="Q27" s="3"/>
      <c r="R27" s="3"/>
      <c r="S27" s="3"/>
      <c r="T27" s="3"/>
      <c r="U27" s="3"/>
      <c r="V27" s="3"/>
      <c r="W27" s="3"/>
    </row>
    <row r="28" spans="1:23" x14ac:dyDescent="0.25"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25">
      <c r="O29" s="3"/>
      <c r="P29" s="3"/>
      <c r="Q29" s="3"/>
      <c r="R29" s="3"/>
      <c r="S29" s="3"/>
      <c r="T29" s="3"/>
      <c r="U29" s="3"/>
      <c r="V29" s="3"/>
      <c r="W29" s="3"/>
    </row>
    <row r="30" spans="1:23" x14ac:dyDescent="0.25"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25">
      <c r="O31" s="3"/>
      <c r="P31" s="3"/>
      <c r="Q31" s="3"/>
      <c r="R31" s="3"/>
      <c r="S31" s="3"/>
      <c r="T31" s="3"/>
      <c r="U31" s="3"/>
      <c r="V31" s="3"/>
      <c r="W31" s="3"/>
    </row>
  </sheetData>
  <mergeCells count="2">
    <mergeCell ref="C2:D2"/>
    <mergeCell ref="O2:P2"/>
  </mergeCells>
  <hyperlinks>
    <hyperlink ref="A1" location="'Matrix+Cover Sheet'!B41" display="Cover Sheet" xr:uid="{BEF15B40-9C1E-448F-90A9-FE72B60EF95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AC14-5B1D-4C07-B84D-5C6E1B214D6F}">
  <dimension ref="A1:S59"/>
  <sheetViews>
    <sheetView zoomScaleNormal="100" workbookViewId="0"/>
  </sheetViews>
  <sheetFormatPr defaultRowHeight="15" x14ac:dyDescent="0.25"/>
  <cols>
    <col min="1" max="1" width="5.42578125" style="88" customWidth="1"/>
    <col min="2" max="2" width="21.140625" style="88" bestFit="1" customWidth="1"/>
    <col min="3" max="3" width="9.42578125" style="88" bestFit="1" customWidth="1"/>
    <col min="4" max="4" width="10.140625" style="88" bestFit="1" customWidth="1"/>
    <col min="5" max="5" width="19.5703125" style="88" bestFit="1" customWidth="1"/>
    <col min="6" max="6" width="13.5703125" style="88" bestFit="1" customWidth="1"/>
    <col min="7" max="7" width="24.28515625" style="88" bestFit="1" customWidth="1"/>
    <col min="8" max="8" width="21" style="88" bestFit="1" customWidth="1"/>
    <col min="9" max="9" width="12.28515625" style="88" bestFit="1" customWidth="1"/>
    <col min="10" max="10" width="9.5703125" style="88" customWidth="1"/>
    <col min="11" max="11" width="37.140625" style="89" bestFit="1" customWidth="1"/>
    <col min="12" max="12" width="9.5703125" style="89" bestFit="1" customWidth="1"/>
    <col min="13" max="19" width="6.85546875" style="89" bestFit="1" customWidth="1"/>
    <col min="20" max="16384" width="9.140625" style="88"/>
  </cols>
  <sheetData>
    <row r="1" spans="1:19" x14ac:dyDescent="0.25">
      <c r="A1" s="1" t="s">
        <v>404</v>
      </c>
      <c r="D1" s="88">
        <v>7</v>
      </c>
    </row>
    <row r="2" spans="1:19" x14ac:dyDescent="0.25">
      <c r="B2" s="90" t="s">
        <v>296</v>
      </c>
      <c r="C2" s="91">
        <f>SUM(D4:D9)</f>
        <v>1829.01</v>
      </c>
      <c r="D2" s="90" t="s">
        <v>297</v>
      </c>
      <c r="E2" s="88" t="s">
        <v>298</v>
      </c>
      <c r="F2" s="92">
        <f>1.5*(SUM(H4:H9))</f>
        <v>595902.375</v>
      </c>
      <c r="G2" s="88" t="s">
        <v>299</v>
      </c>
      <c r="H2" s="92">
        <f>1.5*(SUM(I4:I9))</f>
        <v>1348555.5</v>
      </c>
      <c r="K2" s="125" t="s">
        <v>11</v>
      </c>
      <c r="L2" s="125"/>
      <c r="M2" s="125"/>
    </row>
    <row r="3" spans="1:19" x14ac:dyDescent="0.25">
      <c r="B3" s="93" t="s">
        <v>300</v>
      </c>
      <c r="C3" s="93" t="s">
        <v>301</v>
      </c>
      <c r="D3" s="93" t="s">
        <v>226</v>
      </c>
      <c r="E3" s="93" t="s">
        <v>302</v>
      </c>
      <c r="F3" s="93" t="s">
        <v>303</v>
      </c>
      <c r="G3" s="93" t="s">
        <v>304</v>
      </c>
      <c r="H3" s="94"/>
      <c r="I3" s="94"/>
      <c r="L3" s="89" t="s">
        <v>63</v>
      </c>
      <c r="M3" s="89" t="s">
        <v>4</v>
      </c>
      <c r="N3" s="95" t="s">
        <v>5</v>
      </c>
      <c r="O3" s="89" t="s">
        <v>6</v>
      </c>
      <c r="P3" s="89" t="s">
        <v>7</v>
      </c>
      <c r="Q3" s="89" t="s">
        <v>8</v>
      </c>
      <c r="R3" s="89" t="s">
        <v>9</v>
      </c>
      <c r="S3" s="89" t="s">
        <v>10</v>
      </c>
    </row>
    <row r="4" spans="1:19" x14ac:dyDescent="0.25">
      <c r="B4" s="96" t="s">
        <v>305</v>
      </c>
      <c r="C4" s="96" t="s">
        <v>306</v>
      </c>
      <c r="D4" s="97">
        <v>118</v>
      </c>
      <c r="E4" s="96" t="s">
        <v>307</v>
      </c>
      <c r="F4" s="98">
        <v>21</v>
      </c>
      <c r="G4" s="96" t="s">
        <v>308</v>
      </c>
      <c r="H4" s="99">
        <f>D4*R4</f>
        <v>29500</v>
      </c>
      <c r="I4" s="99">
        <f>D4*R5</f>
        <v>70800</v>
      </c>
      <c r="K4" s="89" t="s">
        <v>17</v>
      </c>
      <c r="L4" s="100">
        <v>75</v>
      </c>
      <c r="M4" s="100">
        <v>50</v>
      </c>
      <c r="N4" s="100">
        <v>60</v>
      </c>
      <c r="O4" s="100">
        <v>100</v>
      </c>
      <c r="P4" s="100">
        <v>200</v>
      </c>
      <c r="Q4" s="100">
        <v>225</v>
      </c>
      <c r="R4" s="100">
        <v>250</v>
      </c>
      <c r="S4" s="100">
        <v>300</v>
      </c>
    </row>
    <row r="5" spans="1:19" x14ac:dyDescent="0.25">
      <c r="B5" s="96" t="s">
        <v>309</v>
      </c>
      <c r="C5" s="96" t="s">
        <v>306</v>
      </c>
      <c r="D5" s="97">
        <v>143</v>
      </c>
      <c r="E5" s="96" t="s">
        <v>307</v>
      </c>
      <c r="F5" s="98">
        <v>21</v>
      </c>
      <c r="G5" s="96" t="s">
        <v>310</v>
      </c>
      <c r="H5" s="99">
        <f>D5*R4</f>
        <v>35750</v>
      </c>
      <c r="I5" s="99">
        <f>D5*R5</f>
        <v>85800</v>
      </c>
      <c r="K5" s="89" t="s">
        <v>65</v>
      </c>
      <c r="L5" s="100">
        <v>250</v>
      </c>
      <c r="M5" s="100">
        <v>275</v>
      </c>
      <c r="N5" s="100">
        <v>300</v>
      </c>
      <c r="O5" s="100">
        <v>350</v>
      </c>
      <c r="P5" s="100">
        <v>450</v>
      </c>
      <c r="Q5" s="100">
        <v>500</v>
      </c>
      <c r="R5" s="100">
        <v>600</v>
      </c>
      <c r="S5" s="100">
        <v>700</v>
      </c>
    </row>
    <row r="6" spans="1:19" x14ac:dyDescent="0.25">
      <c r="B6" s="96" t="s">
        <v>311</v>
      </c>
      <c r="C6" s="96" t="s">
        <v>312</v>
      </c>
      <c r="D6" s="97">
        <v>456.4</v>
      </c>
      <c r="E6" s="96" t="s">
        <v>307</v>
      </c>
      <c r="F6" s="98">
        <v>15</v>
      </c>
      <c r="G6" s="96" t="s">
        <v>313</v>
      </c>
      <c r="H6" s="99">
        <f>D6*P4</f>
        <v>91280</v>
      </c>
      <c r="I6" s="99">
        <f>D6*P5</f>
        <v>205380</v>
      </c>
      <c r="K6" s="89" t="s">
        <v>21</v>
      </c>
      <c r="L6" s="100">
        <v>15</v>
      </c>
      <c r="M6" s="100">
        <v>10</v>
      </c>
      <c r="N6" s="100">
        <v>10</v>
      </c>
      <c r="O6" s="100">
        <v>10</v>
      </c>
      <c r="P6" s="100">
        <v>12</v>
      </c>
      <c r="Q6" s="100">
        <v>15</v>
      </c>
      <c r="R6" s="100">
        <v>15</v>
      </c>
      <c r="S6" s="100">
        <v>20</v>
      </c>
    </row>
    <row r="7" spans="1:19" x14ac:dyDescent="0.25">
      <c r="B7" s="96" t="s">
        <v>314</v>
      </c>
      <c r="C7" s="96" t="s">
        <v>312</v>
      </c>
      <c r="D7" s="97">
        <v>374.96</v>
      </c>
      <c r="E7" s="96" t="s">
        <v>307</v>
      </c>
      <c r="F7" s="98">
        <v>15</v>
      </c>
      <c r="G7" s="96" t="s">
        <v>313</v>
      </c>
      <c r="H7" s="99">
        <f>D7*P4</f>
        <v>74992</v>
      </c>
      <c r="I7" s="99">
        <f>D7*P5</f>
        <v>168732</v>
      </c>
      <c r="K7" s="89" t="s">
        <v>24</v>
      </c>
      <c r="L7" s="101">
        <v>75</v>
      </c>
      <c r="N7" s="102"/>
      <c r="O7" s="102"/>
      <c r="P7" s="102"/>
      <c r="Q7" s="102"/>
      <c r="R7" s="102"/>
      <c r="S7" s="102"/>
    </row>
    <row r="8" spans="1:19" x14ac:dyDescent="0.25">
      <c r="B8" s="96" t="s">
        <v>315</v>
      </c>
      <c r="C8" s="96" t="s">
        <v>312</v>
      </c>
      <c r="D8" s="97">
        <v>386.74</v>
      </c>
      <c r="E8" s="96" t="s">
        <v>307</v>
      </c>
      <c r="F8" s="98">
        <v>18</v>
      </c>
      <c r="G8" s="96" t="s">
        <v>313</v>
      </c>
      <c r="H8" s="99">
        <f>D8*Q4</f>
        <v>87016.5</v>
      </c>
      <c r="I8" s="99">
        <f>D8*Q5</f>
        <v>193370</v>
      </c>
      <c r="K8" s="89" t="s">
        <v>28</v>
      </c>
      <c r="L8" s="101">
        <v>200</v>
      </c>
    </row>
    <row r="9" spans="1:19" x14ac:dyDescent="0.25">
      <c r="B9" s="96" t="s">
        <v>316</v>
      </c>
      <c r="C9" s="96" t="s">
        <v>312</v>
      </c>
      <c r="D9" s="97">
        <v>349.91</v>
      </c>
      <c r="E9" s="96" t="s">
        <v>307</v>
      </c>
      <c r="F9" s="98">
        <v>18</v>
      </c>
      <c r="G9" s="96" t="s">
        <v>313</v>
      </c>
      <c r="H9" s="99">
        <f>D9*Q4</f>
        <v>78729.75</v>
      </c>
      <c r="I9" s="99">
        <f>D9*Q5</f>
        <v>174955</v>
      </c>
      <c r="K9" s="89" t="s">
        <v>32</v>
      </c>
      <c r="L9" s="100">
        <v>1500</v>
      </c>
    </row>
    <row r="10" spans="1:19" x14ac:dyDescent="0.25">
      <c r="K10" s="89" t="s">
        <v>35</v>
      </c>
      <c r="L10" s="100">
        <v>4000</v>
      </c>
    </row>
    <row r="11" spans="1:19" x14ac:dyDescent="0.25">
      <c r="B11" s="90" t="s">
        <v>317</v>
      </c>
      <c r="C11" s="91">
        <f>SUM(D13:D31)</f>
        <v>3347</v>
      </c>
      <c r="D11" s="90" t="s">
        <v>297</v>
      </c>
      <c r="E11" s="88" t="s">
        <v>298</v>
      </c>
      <c r="F11" s="92">
        <f>2.5*(SUM(H13:H31))</f>
        <v>1381975</v>
      </c>
      <c r="G11" s="88" t="s">
        <v>299</v>
      </c>
      <c r="H11" s="92">
        <f>1.75*(SUM(I13:I31))</f>
        <v>2666606.25</v>
      </c>
      <c r="K11" s="89" t="s">
        <v>38</v>
      </c>
      <c r="L11" s="100">
        <v>1500</v>
      </c>
    </row>
    <row r="12" spans="1:19" x14ac:dyDescent="0.25">
      <c r="B12" s="93" t="s">
        <v>300</v>
      </c>
      <c r="C12" s="93" t="s">
        <v>301</v>
      </c>
      <c r="D12" s="93" t="s">
        <v>226</v>
      </c>
      <c r="E12" s="93" t="s">
        <v>302</v>
      </c>
      <c r="F12" s="93" t="s">
        <v>303</v>
      </c>
      <c r="G12" s="93" t="s">
        <v>304</v>
      </c>
      <c r="H12" s="94"/>
      <c r="I12" s="94"/>
      <c r="K12" s="89" t="s">
        <v>41</v>
      </c>
      <c r="L12" s="100">
        <v>3000</v>
      </c>
    </row>
    <row r="13" spans="1:19" x14ac:dyDescent="0.25">
      <c r="B13" s="96" t="s">
        <v>318</v>
      </c>
      <c r="C13" s="96" t="s">
        <v>319</v>
      </c>
      <c r="D13" s="97">
        <v>123</v>
      </c>
      <c r="E13" s="96" t="s">
        <v>320</v>
      </c>
      <c r="F13" s="98">
        <v>8</v>
      </c>
      <c r="G13" s="96" t="s">
        <v>321</v>
      </c>
      <c r="H13" s="103">
        <f>D13*M4</f>
        <v>6150</v>
      </c>
      <c r="I13" s="103">
        <f>D13*M5</f>
        <v>33825</v>
      </c>
      <c r="K13" s="89" t="s">
        <v>44</v>
      </c>
      <c r="L13" s="100">
        <v>3500</v>
      </c>
    </row>
    <row r="14" spans="1:19" x14ac:dyDescent="0.25">
      <c r="B14" s="96" t="s">
        <v>322</v>
      </c>
      <c r="C14" s="96" t="s">
        <v>319</v>
      </c>
      <c r="D14" s="97">
        <v>326</v>
      </c>
      <c r="E14" s="96" t="s">
        <v>320</v>
      </c>
      <c r="F14" s="98">
        <v>12</v>
      </c>
      <c r="G14" s="96" t="s">
        <v>321</v>
      </c>
      <c r="H14" s="103">
        <f>D14*O4</f>
        <v>32600</v>
      </c>
      <c r="I14" s="103">
        <f>D14*O5</f>
        <v>114100</v>
      </c>
      <c r="K14" s="89" t="s">
        <v>46</v>
      </c>
      <c r="L14" s="100">
        <v>10000</v>
      </c>
    </row>
    <row r="15" spans="1:19" x14ac:dyDescent="0.25">
      <c r="B15" s="96" t="s">
        <v>323</v>
      </c>
      <c r="C15" s="96" t="s">
        <v>324</v>
      </c>
      <c r="D15" s="97">
        <v>309</v>
      </c>
      <c r="E15" s="96" t="s">
        <v>320</v>
      </c>
      <c r="F15" s="98">
        <v>10</v>
      </c>
      <c r="G15" s="96" t="s">
        <v>313</v>
      </c>
      <c r="H15" s="103">
        <f>D15*N4</f>
        <v>18540</v>
      </c>
      <c r="I15" s="103">
        <f>D15*N5</f>
        <v>92700</v>
      </c>
      <c r="K15" s="89" t="s">
        <v>75</v>
      </c>
      <c r="L15" s="100">
        <v>15000</v>
      </c>
    </row>
    <row r="16" spans="1:19" x14ac:dyDescent="0.25">
      <c r="B16" s="96" t="s">
        <v>325</v>
      </c>
      <c r="C16" s="96" t="s">
        <v>326</v>
      </c>
      <c r="D16" s="97">
        <v>140</v>
      </c>
      <c r="E16" s="96" t="s">
        <v>320</v>
      </c>
      <c r="F16" s="98">
        <v>14</v>
      </c>
      <c r="G16" s="96" t="s">
        <v>327</v>
      </c>
      <c r="H16" s="103">
        <f>D16*P4</f>
        <v>28000</v>
      </c>
      <c r="I16" s="103">
        <f>D16*P5</f>
        <v>63000</v>
      </c>
      <c r="K16" s="89" t="s">
        <v>48</v>
      </c>
      <c r="L16" s="100">
        <f>(160*8)+(160*1.5*2)</f>
        <v>1760</v>
      </c>
    </row>
    <row r="17" spans="2:12" x14ac:dyDescent="0.25">
      <c r="B17" s="96" t="s">
        <v>328</v>
      </c>
      <c r="C17" s="96" t="s">
        <v>326</v>
      </c>
      <c r="D17" s="97">
        <v>224</v>
      </c>
      <c r="E17" s="96" t="s">
        <v>320</v>
      </c>
      <c r="F17" s="98">
        <v>14</v>
      </c>
      <c r="G17" s="96" t="s">
        <v>329</v>
      </c>
      <c r="H17" s="103">
        <f>D17*P4</f>
        <v>44800</v>
      </c>
      <c r="I17" s="103">
        <f>D17*P5</f>
        <v>100800</v>
      </c>
    </row>
    <row r="18" spans="2:12" x14ac:dyDescent="0.25">
      <c r="B18" s="96" t="s">
        <v>330</v>
      </c>
      <c r="C18" s="96" t="s">
        <v>326</v>
      </c>
      <c r="D18" s="97">
        <v>246</v>
      </c>
      <c r="E18" s="96" t="s">
        <v>320</v>
      </c>
      <c r="F18" s="98">
        <v>12</v>
      </c>
      <c r="G18" s="96" t="s">
        <v>331</v>
      </c>
      <c r="H18" s="103">
        <f>D18*O4</f>
        <v>24600</v>
      </c>
      <c r="I18" s="103">
        <f>D18*O5</f>
        <v>86100</v>
      </c>
    </row>
    <row r="19" spans="2:12" x14ac:dyDescent="0.25">
      <c r="B19" s="96" t="s">
        <v>332</v>
      </c>
      <c r="C19" s="96" t="s">
        <v>326</v>
      </c>
      <c r="D19" s="97">
        <v>82</v>
      </c>
      <c r="E19" s="96" t="s">
        <v>320</v>
      </c>
      <c r="F19" s="98">
        <v>14</v>
      </c>
      <c r="G19" s="96" t="s">
        <v>333</v>
      </c>
      <c r="H19" s="103">
        <f>D19*P4</f>
        <v>16400</v>
      </c>
      <c r="I19" s="103">
        <f>D19*P5</f>
        <v>36900</v>
      </c>
      <c r="K19" s="108" t="s">
        <v>395</v>
      </c>
      <c r="L19" s="108" t="s">
        <v>396</v>
      </c>
    </row>
    <row r="20" spans="2:12" x14ac:dyDescent="0.25">
      <c r="B20" s="96" t="s">
        <v>334</v>
      </c>
      <c r="C20" s="96" t="s">
        <v>326</v>
      </c>
      <c r="D20" s="97">
        <v>82</v>
      </c>
      <c r="E20" s="96" t="s">
        <v>320</v>
      </c>
      <c r="F20" s="98">
        <v>8</v>
      </c>
      <c r="G20" s="96" t="s">
        <v>331</v>
      </c>
      <c r="H20" s="103">
        <f>D20*M4</f>
        <v>4100</v>
      </c>
      <c r="I20" s="103">
        <f>D20*M5</f>
        <v>22550</v>
      </c>
      <c r="K20" s="109">
        <f>F11+F33</f>
        <v>1836475</v>
      </c>
      <c r="L20" s="108" t="s">
        <v>397</v>
      </c>
    </row>
    <row r="21" spans="2:12" x14ac:dyDescent="0.25">
      <c r="B21" s="96" t="s">
        <v>335</v>
      </c>
      <c r="C21" s="96" t="s">
        <v>326</v>
      </c>
      <c r="D21" s="97">
        <v>224</v>
      </c>
      <c r="E21" s="96" t="s">
        <v>320</v>
      </c>
      <c r="F21" s="98">
        <v>8</v>
      </c>
      <c r="G21" s="96" t="s">
        <v>336</v>
      </c>
      <c r="H21" s="103">
        <f>D21*M4</f>
        <v>11200</v>
      </c>
      <c r="I21" s="103">
        <f>D21*M5</f>
        <v>61600</v>
      </c>
      <c r="K21" s="108" t="s">
        <v>398</v>
      </c>
    </row>
    <row r="22" spans="2:12" x14ac:dyDescent="0.25">
      <c r="B22" s="96" t="s">
        <v>337</v>
      </c>
      <c r="C22" s="96" t="s">
        <v>326</v>
      </c>
      <c r="D22" s="97">
        <v>140</v>
      </c>
      <c r="E22" s="96" t="s">
        <v>320</v>
      </c>
      <c r="F22" s="98">
        <v>10</v>
      </c>
      <c r="G22" s="96" t="s">
        <v>327</v>
      </c>
      <c r="H22" s="103">
        <f>D22*N4</f>
        <v>8400</v>
      </c>
      <c r="I22" s="103">
        <f>D22*N5</f>
        <v>42000</v>
      </c>
    </row>
    <row r="23" spans="2:12" x14ac:dyDescent="0.25">
      <c r="B23" s="96" t="s">
        <v>338</v>
      </c>
      <c r="C23" s="96" t="s">
        <v>306</v>
      </c>
      <c r="D23" s="97">
        <v>156</v>
      </c>
      <c r="E23" s="96" t="s">
        <v>320</v>
      </c>
      <c r="F23" s="98">
        <v>18</v>
      </c>
      <c r="G23" s="96" t="s">
        <v>339</v>
      </c>
      <c r="H23" s="103">
        <f>D23*Q4</f>
        <v>35100</v>
      </c>
      <c r="I23" s="103">
        <f>D23*Q5</f>
        <v>78000</v>
      </c>
      <c r="K23" s="110">
        <f>ROUND((3*(SUM(H13:H22,H24:H28))),-3)</f>
        <v>638000</v>
      </c>
      <c r="L23" s="89" t="s">
        <v>399</v>
      </c>
    </row>
    <row r="24" spans="2:12" x14ac:dyDescent="0.25">
      <c r="B24" s="96" t="s">
        <v>340</v>
      </c>
      <c r="C24" s="96" t="s">
        <v>341</v>
      </c>
      <c r="D24" s="97">
        <v>16</v>
      </c>
      <c r="E24" s="96" t="s">
        <v>320</v>
      </c>
      <c r="F24" s="98">
        <v>12</v>
      </c>
      <c r="G24" s="96" t="s">
        <v>342</v>
      </c>
      <c r="H24" s="103">
        <f>D24*O4</f>
        <v>1600</v>
      </c>
      <c r="I24" s="103">
        <f>D24*O5</f>
        <v>5600</v>
      </c>
      <c r="K24" s="110">
        <f>ROUND((2.25*(SUM(H23,H29:H31,H35:H37))),-3)</f>
        <v>1175000</v>
      </c>
      <c r="L24" s="89" t="s">
        <v>400</v>
      </c>
    </row>
    <row r="25" spans="2:12" x14ac:dyDescent="0.25">
      <c r="B25" s="96" t="s">
        <v>343</v>
      </c>
      <c r="C25" s="96" t="s">
        <v>341</v>
      </c>
      <c r="D25" s="97">
        <v>46</v>
      </c>
      <c r="E25" s="96" t="s">
        <v>320</v>
      </c>
      <c r="F25" s="98">
        <v>12</v>
      </c>
      <c r="G25" s="96" t="s">
        <v>344</v>
      </c>
      <c r="H25" s="103">
        <f>D25*O4</f>
        <v>4600</v>
      </c>
      <c r="I25" s="103">
        <f>D25*O5</f>
        <v>16100</v>
      </c>
    </row>
    <row r="26" spans="2:12" x14ac:dyDescent="0.25">
      <c r="B26" s="96" t="s">
        <v>345</v>
      </c>
      <c r="C26" s="96" t="s">
        <v>346</v>
      </c>
      <c r="D26" s="97">
        <v>33</v>
      </c>
      <c r="E26" s="96" t="s">
        <v>320</v>
      </c>
      <c r="F26" s="98">
        <v>8</v>
      </c>
      <c r="G26" s="96" t="s">
        <v>347</v>
      </c>
      <c r="H26" s="103">
        <f>D26*M4</f>
        <v>1650</v>
      </c>
      <c r="I26" s="103">
        <f>D26*M5</f>
        <v>9075</v>
      </c>
    </row>
    <row r="27" spans="2:12" x14ac:dyDescent="0.25">
      <c r="B27" s="96" t="s">
        <v>348</v>
      </c>
      <c r="C27" s="96" t="s">
        <v>349</v>
      </c>
      <c r="D27" s="97">
        <v>32</v>
      </c>
      <c r="E27" s="96" t="s">
        <v>320</v>
      </c>
      <c r="F27" s="98">
        <v>6</v>
      </c>
      <c r="G27" s="96" t="s">
        <v>350</v>
      </c>
      <c r="H27" s="103">
        <f>D27*L4</f>
        <v>2400</v>
      </c>
      <c r="I27" s="103">
        <f>D27*L5</f>
        <v>8000</v>
      </c>
    </row>
    <row r="28" spans="2:12" x14ac:dyDescent="0.25">
      <c r="B28" s="96" t="s">
        <v>351</v>
      </c>
      <c r="C28" s="96" t="s">
        <v>352</v>
      </c>
      <c r="D28" s="97">
        <v>151</v>
      </c>
      <c r="E28" s="96" t="s">
        <v>320</v>
      </c>
      <c r="F28" s="98">
        <v>8</v>
      </c>
      <c r="G28" s="96" t="s">
        <v>353</v>
      </c>
      <c r="H28" s="103">
        <f>D28*M4</f>
        <v>7550</v>
      </c>
      <c r="I28" s="103">
        <f>D28*M5</f>
        <v>41525</v>
      </c>
    </row>
    <row r="29" spans="2:12" x14ac:dyDescent="0.25">
      <c r="B29" s="96" t="s">
        <v>354</v>
      </c>
      <c r="C29" s="96" t="s">
        <v>355</v>
      </c>
      <c r="D29" s="97">
        <v>448</v>
      </c>
      <c r="E29" s="96" t="s">
        <v>320</v>
      </c>
      <c r="F29" s="98">
        <v>24</v>
      </c>
      <c r="G29" s="96" t="s">
        <v>313</v>
      </c>
      <c r="H29" s="103">
        <f>D29*S4</f>
        <v>134400</v>
      </c>
      <c r="I29" s="103">
        <f>D29*S5</f>
        <v>313600</v>
      </c>
    </row>
    <row r="30" spans="2:12" x14ac:dyDescent="0.25">
      <c r="B30" s="96" t="s">
        <v>356</v>
      </c>
      <c r="C30" s="96" t="s">
        <v>355</v>
      </c>
      <c r="D30" s="97">
        <v>443</v>
      </c>
      <c r="E30" s="96" t="s">
        <v>320</v>
      </c>
      <c r="F30" s="98">
        <v>24</v>
      </c>
      <c r="G30" s="96" t="s">
        <v>357</v>
      </c>
      <c r="H30" s="103">
        <f>D30*S4</f>
        <v>132900</v>
      </c>
      <c r="I30" s="103">
        <f>D30*S5</f>
        <v>310100</v>
      </c>
    </row>
    <row r="31" spans="2:12" x14ac:dyDescent="0.25">
      <c r="B31" s="96" t="s">
        <v>358</v>
      </c>
      <c r="C31" s="96" t="s">
        <v>355</v>
      </c>
      <c r="D31" s="97">
        <v>126</v>
      </c>
      <c r="E31" s="96" t="s">
        <v>320</v>
      </c>
      <c r="F31" s="98">
        <v>24</v>
      </c>
      <c r="G31" s="96" t="s">
        <v>359</v>
      </c>
      <c r="H31" s="103">
        <f>D31*S4</f>
        <v>37800</v>
      </c>
      <c r="I31" s="103">
        <f>D31*S5</f>
        <v>88200</v>
      </c>
    </row>
    <row r="33" spans="2:9" x14ac:dyDescent="0.25">
      <c r="B33" s="90" t="s">
        <v>360</v>
      </c>
      <c r="C33" s="91">
        <f>SUM(D35:D37)</f>
        <v>808</v>
      </c>
      <c r="D33" s="90" t="s">
        <v>297</v>
      </c>
      <c r="E33" s="88" t="s">
        <v>298</v>
      </c>
      <c r="F33" s="92">
        <f>2.5*(SUM(H35:H37))</f>
        <v>454500</v>
      </c>
      <c r="G33" s="88" t="s">
        <v>299</v>
      </c>
      <c r="H33" s="92">
        <f>1.75*(SUM(I35:I37))</f>
        <v>707000</v>
      </c>
    </row>
    <row r="34" spans="2:9" x14ac:dyDescent="0.25">
      <c r="B34" s="93" t="s">
        <v>300</v>
      </c>
      <c r="C34" s="93" t="s">
        <v>301</v>
      </c>
      <c r="D34" s="93" t="s">
        <v>226</v>
      </c>
      <c r="E34" s="93" t="s">
        <v>302</v>
      </c>
      <c r="F34" s="93" t="s">
        <v>303</v>
      </c>
      <c r="G34" s="93" t="s">
        <v>304</v>
      </c>
      <c r="H34" s="94"/>
      <c r="I34" s="94"/>
    </row>
    <row r="35" spans="2:9" x14ac:dyDescent="0.25">
      <c r="B35" s="96" t="s">
        <v>361</v>
      </c>
      <c r="C35" s="96" t="s">
        <v>306</v>
      </c>
      <c r="D35" s="97">
        <v>321</v>
      </c>
      <c r="E35" s="96" t="s">
        <v>362</v>
      </c>
      <c r="F35" s="98">
        <v>18</v>
      </c>
      <c r="G35" s="96" t="s">
        <v>363</v>
      </c>
      <c r="H35" s="103">
        <f>D35*Q4</f>
        <v>72225</v>
      </c>
      <c r="I35" s="103">
        <f>D35*Q5</f>
        <v>160500</v>
      </c>
    </row>
    <row r="36" spans="2:9" x14ac:dyDescent="0.25">
      <c r="B36" s="96" t="s">
        <v>364</v>
      </c>
      <c r="C36" s="96" t="s">
        <v>306</v>
      </c>
      <c r="D36" s="97">
        <v>205</v>
      </c>
      <c r="E36" s="96" t="s">
        <v>362</v>
      </c>
      <c r="F36" s="98">
        <v>18</v>
      </c>
      <c r="G36" s="96" t="s">
        <v>339</v>
      </c>
      <c r="H36" s="103">
        <f>D36*Q4</f>
        <v>46125</v>
      </c>
      <c r="I36" s="103">
        <f>D36*Q5</f>
        <v>102500</v>
      </c>
    </row>
    <row r="37" spans="2:9" x14ac:dyDescent="0.25">
      <c r="B37" s="96" t="s">
        <v>365</v>
      </c>
      <c r="C37" s="96" t="s">
        <v>306</v>
      </c>
      <c r="D37" s="97">
        <v>282</v>
      </c>
      <c r="E37" s="96" t="s">
        <v>362</v>
      </c>
      <c r="F37" s="98">
        <v>18</v>
      </c>
      <c r="G37" s="96" t="s">
        <v>366</v>
      </c>
      <c r="H37" s="103">
        <f>D37*Q4</f>
        <v>63450</v>
      </c>
      <c r="I37" s="103">
        <f>D37*Q5</f>
        <v>141000</v>
      </c>
    </row>
    <row r="39" spans="2:9" x14ac:dyDescent="0.25">
      <c r="B39" s="90" t="s">
        <v>367</v>
      </c>
      <c r="C39" s="91">
        <f>SUM(D41:D45)</f>
        <v>1088</v>
      </c>
      <c r="D39" s="90" t="s">
        <v>297</v>
      </c>
      <c r="E39" s="88" t="s">
        <v>298</v>
      </c>
      <c r="F39" s="92">
        <f>1.6*(SUM(H41:H45))</f>
        <v>348160</v>
      </c>
      <c r="G39" s="88" t="s">
        <v>299</v>
      </c>
      <c r="H39" s="92">
        <f>1.75*(SUM(I41:I45))</f>
        <v>856800</v>
      </c>
    </row>
    <row r="40" spans="2:9" x14ac:dyDescent="0.25">
      <c r="B40" s="93" t="s">
        <v>300</v>
      </c>
      <c r="C40" s="93" t="s">
        <v>301</v>
      </c>
      <c r="D40" s="93" t="s">
        <v>226</v>
      </c>
      <c r="E40" s="93" t="s">
        <v>302</v>
      </c>
      <c r="F40" s="93" t="s">
        <v>303</v>
      </c>
      <c r="G40" s="93" t="s">
        <v>304</v>
      </c>
      <c r="H40" s="94"/>
      <c r="I40" s="94"/>
    </row>
    <row r="41" spans="2:9" x14ac:dyDescent="0.25">
      <c r="B41" s="96" t="s">
        <v>368</v>
      </c>
      <c r="C41" s="96" t="s">
        <v>369</v>
      </c>
      <c r="D41" s="97">
        <v>69</v>
      </c>
      <c r="E41" s="96" t="s">
        <v>367</v>
      </c>
      <c r="F41" s="98">
        <v>16</v>
      </c>
      <c r="G41" s="96" t="s">
        <v>370</v>
      </c>
      <c r="H41" s="103">
        <f>D41*P4</f>
        <v>13800</v>
      </c>
      <c r="I41" s="103">
        <f>D41*P5</f>
        <v>31050</v>
      </c>
    </row>
    <row r="42" spans="2:9" x14ac:dyDescent="0.25">
      <c r="B42" s="96" t="s">
        <v>371</v>
      </c>
      <c r="C42" s="96" t="s">
        <v>369</v>
      </c>
      <c r="D42" s="97">
        <v>352</v>
      </c>
      <c r="E42" s="96" t="s">
        <v>367</v>
      </c>
      <c r="F42" s="98">
        <v>16</v>
      </c>
      <c r="G42" s="96" t="s">
        <v>372</v>
      </c>
      <c r="H42" s="103">
        <f>D42*P4</f>
        <v>70400</v>
      </c>
      <c r="I42" s="103">
        <f>D42*P5</f>
        <v>158400</v>
      </c>
    </row>
    <row r="43" spans="2:9" x14ac:dyDescent="0.25">
      <c r="B43" s="96" t="s">
        <v>373</v>
      </c>
      <c r="C43" s="96" t="s">
        <v>369</v>
      </c>
      <c r="D43" s="97">
        <v>120</v>
      </c>
      <c r="E43" s="96" t="s">
        <v>367</v>
      </c>
      <c r="F43" s="98">
        <v>16</v>
      </c>
      <c r="G43" s="96" t="s">
        <v>370</v>
      </c>
      <c r="H43" s="103">
        <f>D43*P4</f>
        <v>24000</v>
      </c>
      <c r="I43" s="103">
        <f>D43*P5</f>
        <v>54000</v>
      </c>
    </row>
    <row r="44" spans="2:9" x14ac:dyDescent="0.25">
      <c r="B44" s="96" t="s">
        <v>374</v>
      </c>
      <c r="C44" s="96" t="s">
        <v>369</v>
      </c>
      <c r="D44" s="97">
        <v>160</v>
      </c>
      <c r="E44" s="96" t="s">
        <v>367</v>
      </c>
      <c r="F44" s="98">
        <v>16</v>
      </c>
      <c r="G44" s="96" t="s">
        <v>370</v>
      </c>
      <c r="H44" s="103">
        <f>D44*P4</f>
        <v>32000</v>
      </c>
      <c r="I44" s="103">
        <f>D44*P5</f>
        <v>72000</v>
      </c>
    </row>
    <row r="45" spans="2:9" x14ac:dyDescent="0.25">
      <c r="B45" s="96" t="s">
        <v>375</v>
      </c>
      <c r="C45" s="96" t="s">
        <v>369</v>
      </c>
      <c r="D45" s="97">
        <v>387</v>
      </c>
      <c r="E45" s="96" t="s">
        <v>367</v>
      </c>
      <c r="F45" s="98">
        <v>16</v>
      </c>
      <c r="G45" s="96" t="s">
        <v>376</v>
      </c>
      <c r="H45" s="103">
        <f>D45*P4</f>
        <v>77400</v>
      </c>
      <c r="I45" s="103">
        <f>D45*P5</f>
        <v>174150</v>
      </c>
    </row>
    <row r="47" spans="2:9" x14ac:dyDescent="0.25">
      <c r="B47" s="104" t="s">
        <v>377</v>
      </c>
      <c r="C47" s="91">
        <f>SUM(D49:D56)</f>
        <v>2629.6</v>
      </c>
      <c r="D47" s="90" t="s">
        <v>297</v>
      </c>
    </row>
    <row r="48" spans="2:9" x14ac:dyDescent="0.25">
      <c r="B48" s="93" t="s">
        <v>300</v>
      </c>
      <c r="C48" s="93" t="s">
        <v>301</v>
      </c>
      <c r="D48" s="93" t="s">
        <v>226</v>
      </c>
      <c r="E48" s="93" t="s">
        <v>302</v>
      </c>
      <c r="F48" s="93" t="s">
        <v>303</v>
      </c>
      <c r="G48" s="93" t="s">
        <v>304</v>
      </c>
      <c r="H48" s="105"/>
      <c r="I48" s="105"/>
    </row>
    <row r="49" spans="2:9" x14ac:dyDescent="0.25">
      <c r="B49" s="106" t="s">
        <v>378</v>
      </c>
      <c r="C49" s="96" t="s">
        <v>379</v>
      </c>
      <c r="D49" s="97">
        <v>405.2</v>
      </c>
      <c r="E49" s="96" t="s">
        <v>367</v>
      </c>
      <c r="F49" s="98">
        <v>18</v>
      </c>
      <c r="G49" s="96" t="s">
        <v>380</v>
      </c>
      <c r="H49" s="105" t="s">
        <v>381</v>
      </c>
      <c r="I49" s="107">
        <f>((SUM(D49,D55:D56))*Q5)+((SUM(D50:D54))*R5)</f>
        <v>1458040</v>
      </c>
    </row>
    <row r="50" spans="2:9" x14ac:dyDescent="0.25">
      <c r="B50" s="106" t="s">
        <v>382</v>
      </c>
      <c r="C50" s="96" t="s">
        <v>379</v>
      </c>
      <c r="D50" s="97">
        <v>238.7</v>
      </c>
      <c r="E50" s="96" t="s">
        <v>367</v>
      </c>
      <c r="F50" s="98">
        <v>21</v>
      </c>
      <c r="G50" s="96" t="s">
        <v>383</v>
      </c>
      <c r="H50" s="105" t="s">
        <v>384</v>
      </c>
      <c r="I50" s="107">
        <f>25000*((SUM(D49:D56))/600)</f>
        <v>109566.66666666666</v>
      </c>
    </row>
    <row r="51" spans="2:9" x14ac:dyDescent="0.25">
      <c r="B51" s="106" t="s">
        <v>385</v>
      </c>
      <c r="C51" s="96" t="s">
        <v>379</v>
      </c>
      <c r="D51" s="97">
        <v>127</v>
      </c>
      <c r="E51" s="96" t="s">
        <v>367</v>
      </c>
      <c r="F51" s="98">
        <v>21</v>
      </c>
      <c r="G51" s="96" t="s">
        <v>386</v>
      </c>
      <c r="H51" s="105" t="s">
        <v>387</v>
      </c>
      <c r="I51" s="107">
        <f>(2000/20)*(4000+4800)</f>
        <v>880000</v>
      </c>
    </row>
    <row r="52" spans="2:9" x14ac:dyDescent="0.25">
      <c r="B52" s="106" t="s">
        <v>388</v>
      </c>
      <c r="C52" s="96" t="s">
        <v>379</v>
      </c>
      <c r="D52" s="97">
        <v>305.7</v>
      </c>
      <c r="E52" s="96" t="s">
        <v>367</v>
      </c>
      <c r="F52" s="98">
        <v>21</v>
      </c>
      <c r="G52" s="96" t="s">
        <v>386</v>
      </c>
      <c r="H52" s="105"/>
      <c r="I52" s="105"/>
    </row>
    <row r="53" spans="2:9" x14ac:dyDescent="0.25">
      <c r="B53" s="106" t="s">
        <v>389</v>
      </c>
      <c r="C53" s="96" t="s">
        <v>379</v>
      </c>
      <c r="D53" s="97">
        <v>356</v>
      </c>
      <c r="E53" s="96" t="s">
        <v>367</v>
      </c>
      <c r="F53" s="98">
        <v>21</v>
      </c>
      <c r="G53" s="96" t="s">
        <v>390</v>
      </c>
      <c r="H53" s="105"/>
      <c r="I53" s="105"/>
    </row>
    <row r="54" spans="2:9" x14ac:dyDescent="0.25">
      <c r="B54" s="106" t="s">
        <v>391</v>
      </c>
      <c r="C54" s="96" t="s">
        <v>379</v>
      </c>
      <c r="D54" s="97">
        <v>405</v>
      </c>
      <c r="E54" s="96" t="s">
        <v>367</v>
      </c>
      <c r="F54" s="98">
        <v>21</v>
      </c>
      <c r="G54" s="96" t="s">
        <v>392</v>
      </c>
      <c r="H54" s="105"/>
      <c r="I54" s="105"/>
    </row>
    <row r="55" spans="2:9" x14ac:dyDescent="0.25">
      <c r="B55" s="106" t="s">
        <v>393</v>
      </c>
      <c r="C55" s="96" t="s">
        <v>379</v>
      </c>
      <c r="D55" s="97">
        <v>402</v>
      </c>
      <c r="E55" s="96" t="s">
        <v>367</v>
      </c>
      <c r="F55" s="98">
        <v>18</v>
      </c>
      <c r="G55" s="96" t="s">
        <v>392</v>
      </c>
      <c r="H55" s="105"/>
      <c r="I55" s="105"/>
    </row>
    <row r="56" spans="2:9" x14ac:dyDescent="0.25">
      <c r="B56" s="106" t="s">
        <v>394</v>
      </c>
      <c r="C56" s="96" t="s">
        <v>379</v>
      </c>
      <c r="D56" s="97">
        <v>390</v>
      </c>
      <c r="E56" s="96" t="s">
        <v>367</v>
      </c>
      <c r="F56" s="98">
        <v>18</v>
      </c>
      <c r="G56" s="96" t="s">
        <v>392</v>
      </c>
      <c r="H56" s="105"/>
      <c r="I56" s="105"/>
    </row>
    <row r="57" spans="2:9" x14ac:dyDescent="0.25">
      <c r="H57" s="105"/>
      <c r="I57" s="105"/>
    </row>
    <row r="58" spans="2:9" x14ac:dyDescent="0.25">
      <c r="H58" s="105"/>
      <c r="I58" s="105"/>
    </row>
    <row r="59" spans="2:9" x14ac:dyDescent="0.25">
      <c r="H59" s="105"/>
      <c r="I59" s="105"/>
    </row>
  </sheetData>
  <mergeCells count="1">
    <mergeCell ref="K2:M2"/>
  </mergeCells>
  <hyperlinks>
    <hyperlink ref="A1" location="'Matrix+Cover Sheet'!B41" display="Cover Sheet" xr:uid="{3B4674C1-87C9-4D2F-B6C6-BB18B90C6D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56F8-09DD-48A8-8A1B-01FA7290E156}">
  <dimension ref="A1:W41"/>
  <sheetViews>
    <sheetView zoomScale="85" zoomScaleNormal="85" workbookViewId="0"/>
  </sheetViews>
  <sheetFormatPr defaultRowHeight="15" x14ac:dyDescent="0.25"/>
  <cols>
    <col min="1" max="1" width="5.140625" bestFit="1" customWidth="1"/>
    <col min="2" max="2" width="71.140625" bestFit="1" customWidth="1"/>
    <col min="3" max="3" width="10" bestFit="1" customWidth="1"/>
    <col min="4" max="4" width="6.140625" bestFit="1" customWidth="1"/>
    <col min="5" max="5" width="49.85546875" bestFit="1" customWidth="1"/>
    <col min="6" max="6" width="22.5703125" bestFit="1" customWidth="1"/>
    <col min="7" max="7" width="28.28515625" bestFit="1" customWidth="1"/>
    <col min="8" max="9" width="6.42578125" bestFit="1" customWidth="1"/>
    <col min="10" max="11" width="11.85546875" bestFit="1" customWidth="1"/>
    <col min="12" max="13" width="6.42578125" bestFit="1" customWidth="1"/>
    <col min="15" max="15" width="32.85546875" bestFit="1" customWidth="1"/>
    <col min="16" max="16" width="8.42578125" bestFit="1" customWidth="1"/>
    <col min="17" max="17" width="4.85546875" bestFit="1" customWidth="1"/>
    <col min="18" max="22" width="5.85546875" bestFit="1" customWidth="1"/>
  </cols>
  <sheetData>
    <row r="1" spans="1:23" x14ac:dyDescent="0.25">
      <c r="A1" s="1" t="s">
        <v>404</v>
      </c>
      <c r="B1" s="2" t="s">
        <v>0</v>
      </c>
      <c r="F1" s="3"/>
      <c r="G1" s="3" t="s">
        <v>1</v>
      </c>
      <c r="H1" s="3"/>
      <c r="I1" s="3"/>
      <c r="J1" s="3"/>
      <c r="K1" s="3"/>
      <c r="L1" s="3"/>
      <c r="M1" s="3"/>
      <c r="N1" s="3"/>
    </row>
    <row r="2" spans="1:23" x14ac:dyDescent="0.25">
      <c r="A2" s="4" t="s">
        <v>2</v>
      </c>
      <c r="B2" s="5" t="s">
        <v>92</v>
      </c>
      <c r="C2" s="121" t="s">
        <v>3</v>
      </c>
      <c r="D2" s="122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/>
      <c r="O2" s="123" t="s">
        <v>11</v>
      </c>
      <c r="P2" s="123"/>
      <c r="Q2" s="3"/>
      <c r="R2" s="3"/>
      <c r="S2" s="3"/>
      <c r="T2" s="3"/>
      <c r="U2" s="3"/>
      <c r="V2" s="3"/>
      <c r="W2" s="3"/>
    </row>
    <row r="3" spans="1:23" x14ac:dyDescent="0.25">
      <c r="A3" s="8">
        <v>1.01</v>
      </c>
      <c r="B3" s="9" t="s">
        <v>12</v>
      </c>
      <c r="C3" s="10">
        <f>ROUND((SUM(C13:C19)*0.05),-3)</f>
        <v>24000</v>
      </c>
      <c r="D3" s="11"/>
      <c r="E3" t="s">
        <v>13</v>
      </c>
      <c r="F3" s="3" t="s">
        <v>14</v>
      </c>
      <c r="G3" s="12">
        <v>0</v>
      </c>
      <c r="H3" s="12">
        <v>0</v>
      </c>
      <c r="I3" s="12">
        <v>0</v>
      </c>
      <c r="J3" s="12">
        <f>131+460+375</f>
        <v>966</v>
      </c>
      <c r="K3" s="12">
        <f>390+350</f>
        <v>740</v>
      </c>
      <c r="L3" s="12">
        <v>0</v>
      </c>
      <c r="M3" s="12">
        <v>0</v>
      </c>
      <c r="N3" s="3"/>
      <c r="O3" s="3"/>
      <c r="P3" s="3" t="s">
        <v>4</v>
      </c>
      <c r="Q3" s="6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13"/>
    </row>
    <row r="4" spans="1:23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 t="shared" ref="G4:M4" si="0">G3*P5</f>
        <v>0</v>
      </c>
      <c r="H4" s="15">
        <f t="shared" si="0"/>
        <v>0</v>
      </c>
      <c r="I4" s="15">
        <f t="shared" si="0"/>
        <v>0</v>
      </c>
      <c r="J4" s="15">
        <f t="shared" si="0"/>
        <v>11592</v>
      </c>
      <c r="K4" s="15">
        <f t="shared" si="0"/>
        <v>11100</v>
      </c>
      <c r="L4" s="15">
        <f t="shared" si="0"/>
        <v>0</v>
      </c>
      <c r="M4" s="15">
        <f t="shared" si="0"/>
        <v>0</v>
      </c>
      <c r="N4" s="3"/>
      <c r="O4" s="3" t="s">
        <v>17</v>
      </c>
      <c r="P4" s="16">
        <v>50</v>
      </c>
      <c r="Q4" s="16">
        <v>60</v>
      </c>
      <c r="R4" s="16">
        <v>100</v>
      </c>
      <c r="S4" s="16">
        <v>200</v>
      </c>
      <c r="T4" s="16">
        <v>225</v>
      </c>
      <c r="U4" s="16">
        <v>250</v>
      </c>
      <c r="V4" s="16">
        <v>300</v>
      </c>
      <c r="W4" s="13"/>
    </row>
    <row r="5" spans="1:23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 t="shared" ref="G5:M5" si="1">G3*P4</f>
        <v>0</v>
      </c>
      <c r="H5" s="15">
        <f t="shared" si="1"/>
        <v>0</v>
      </c>
      <c r="I5" s="15">
        <f t="shared" si="1"/>
        <v>0</v>
      </c>
      <c r="J5" s="15">
        <f t="shared" si="1"/>
        <v>193200</v>
      </c>
      <c r="K5" s="15">
        <f t="shared" si="1"/>
        <v>166500</v>
      </c>
      <c r="L5" s="15">
        <f t="shared" si="1"/>
        <v>0</v>
      </c>
      <c r="M5" s="15">
        <f t="shared" si="1"/>
        <v>0</v>
      </c>
      <c r="N5" s="3"/>
      <c r="O5" s="3" t="s">
        <v>21</v>
      </c>
      <c r="P5" s="16">
        <v>10</v>
      </c>
      <c r="Q5" s="16">
        <v>10</v>
      </c>
      <c r="R5" s="16">
        <v>10</v>
      </c>
      <c r="S5" s="16">
        <v>12</v>
      </c>
      <c r="T5" s="16">
        <v>15</v>
      </c>
      <c r="U5" s="16">
        <v>15</v>
      </c>
      <c r="V5" s="16">
        <v>20</v>
      </c>
      <c r="W5" s="13"/>
    </row>
    <row r="6" spans="1:23" x14ac:dyDescent="0.25">
      <c r="A6" s="8">
        <v>2.02</v>
      </c>
      <c r="B6" s="9" t="s">
        <v>22</v>
      </c>
      <c r="C6" s="10">
        <f>ROUND((((SUM(C13:C19))/1000000)*2500),-3)</f>
        <v>1000</v>
      </c>
      <c r="D6" s="14"/>
      <c r="E6" t="s">
        <v>23</v>
      </c>
      <c r="F6" s="3"/>
      <c r="G6" s="3"/>
      <c r="H6" s="3"/>
      <c r="I6" s="3"/>
      <c r="J6" s="3"/>
      <c r="K6" s="3"/>
      <c r="L6" s="3"/>
      <c r="M6" s="3"/>
      <c r="N6" s="3"/>
      <c r="O6" s="3" t="s">
        <v>24</v>
      </c>
      <c r="P6" s="18">
        <v>75</v>
      </c>
      <c r="Q6" s="15"/>
      <c r="R6" s="15"/>
      <c r="S6" s="15"/>
      <c r="T6" s="15"/>
      <c r="U6" s="15"/>
      <c r="V6" s="15"/>
      <c r="W6" s="13"/>
    </row>
    <row r="7" spans="1:23" x14ac:dyDescent="0.25">
      <c r="A7" s="19">
        <v>3.01</v>
      </c>
      <c r="B7" s="9" t="s">
        <v>25</v>
      </c>
      <c r="C7" s="10">
        <f>ROUND((SUM(C13:C19)*0.05),-3)</f>
        <v>24000</v>
      </c>
      <c r="D7" s="14"/>
      <c r="E7" t="s">
        <v>26</v>
      </c>
      <c r="F7" s="3" t="s">
        <v>27</v>
      </c>
      <c r="G7" s="7">
        <v>6</v>
      </c>
      <c r="H7" s="3"/>
      <c r="I7" s="3"/>
      <c r="J7" s="3"/>
      <c r="K7" s="3"/>
      <c r="L7" s="3"/>
      <c r="M7" s="3"/>
      <c r="N7" s="3"/>
      <c r="O7" s="3" t="s">
        <v>28</v>
      </c>
      <c r="P7" s="18">
        <v>200</v>
      </c>
      <c r="Q7" s="3"/>
      <c r="R7" s="3"/>
      <c r="S7" s="3"/>
      <c r="T7" s="3"/>
      <c r="U7" s="3"/>
      <c r="V7" s="3"/>
      <c r="W7" s="3"/>
    </row>
    <row r="8" spans="1:23" x14ac:dyDescent="0.25">
      <c r="A8" s="19">
        <v>3.02</v>
      </c>
      <c r="B8" s="9" t="s">
        <v>29</v>
      </c>
      <c r="C8" s="10">
        <f>ROUND((SUM(C13:C19)*0.025),-3)</f>
        <v>12000</v>
      </c>
      <c r="D8" s="14"/>
      <c r="E8" t="s">
        <v>30</v>
      </c>
      <c r="F8" s="3" t="s">
        <v>31</v>
      </c>
      <c r="G8" s="16">
        <v>7500</v>
      </c>
      <c r="H8" s="3"/>
      <c r="I8" s="3"/>
      <c r="J8" s="3"/>
      <c r="K8" s="3"/>
      <c r="L8" s="3"/>
      <c r="M8" s="3"/>
      <c r="N8" s="3"/>
      <c r="O8" s="3" t="s">
        <v>32</v>
      </c>
      <c r="P8" s="16">
        <v>1500</v>
      </c>
      <c r="Q8" s="3"/>
      <c r="R8" s="3"/>
      <c r="S8" s="3"/>
      <c r="T8" s="3"/>
      <c r="U8" s="3"/>
      <c r="V8" s="3"/>
      <c r="W8" s="3"/>
    </row>
    <row r="9" spans="1:23" x14ac:dyDescent="0.25">
      <c r="A9" s="19">
        <v>3.03</v>
      </c>
      <c r="B9" s="9" t="s">
        <v>33</v>
      </c>
      <c r="C9" s="17">
        <f>ROUNDUP(((5+((SUM(G3:M3))/400))*$P$14),-3)</f>
        <v>17000</v>
      </c>
      <c r="D9" s="14"/>
      <c r="E9" t="s">
        <v>34</v>
      </c>
      <c r="F9" s="3"/>
      <c r="G9" s="3"/>
      <c r="H9" s="3"/>
      <c r="I9" s="3"/>
      <c r="J9" s="12"/>
      <c r="K9" s="3"/>
      <c r="L9" s="3"/>
      <c r="M9" s="3"/>
      <c r="N9" s="3"/>
      <c r="O9" s="3" t="s">
        <v>35</v>
      </c>
      <c r="P9" s="16">
        <v>4000</v>
      </c>
      <c r="Q9" s="3"/>
      <c r="R9" s="3"/>
      <c r="S9" s="3"/>
      <c r="T9" s="3"/>
      <c r="U9" s="3"/>
      <c r="V9" s="3"/>
      <c r="W9" s="3"/>
    </row>
    <row r="10" spans="1:23" x14ac:dyDescent="0.25">
      <c r="A10" s="19">
        <v>3.04</v>
      </c>
      <c r="B10" s="9" t="s">
        <v>36</v>
      </c>
      <c r="C10" s="10">
        <v>0</v>
      </c>
      <c r="D10" s="14"/>
      <c r="E10" t="s">
        <v>37</v>
      </c>
      <c r="F10" s="3"/>
      <c r="G10" s="3"/>
      <c r="H10" s="3"/>
      <c r="I10" s="3"/>
      <c r="J10" s="3"/>
      <c r="K10" s="3"/>
      <c r="L10" s="3"/>
      <c r="M10" s="3"/>
      <c r="N10" s="3"/>
      <c r="O10" s="3" t="s">
        <v>38</v>
      </c>
      <c r="P10" s="16">
        <v>1500</v>
      </c>
      <c r="Q10" s="3"/>
      <c r="R10" s="3"/>
      <c r="S10" s="3"/>
      <c r="T10" s="3"/>
      <c r="U10" s="3"/>
      <c r="V10" s="3"/>
      <c r="W10" s="3"/>
    </row>
    <row r="11" spans="1:23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F11" s="3"/>
      <c r="G11" s="3"/>
      <c r="H11" s="3"/>
      <c r="I11" s="3"/>
      <c r="J11" s="3"/>
      <c r="K11" s="3"/>
      <c r="L11" s="3"/>
      <c r="M11" s="3"/>
      <c r="N11" s="3"/>
      <c r="O11" s="3" t="s">
        <v>41</v>
      </c>
      <c r="P11" s="16">
        <v>3000</v>
      </c>
      <c r="Q11" s="3"/>
      <c r="R11" s="3"/>
      <c r="S11" s="3"/>
      <c r="T11" s="3"/>
      <c r="U11" s="3"/>
      <c r="V11" s="3"/>
      <c r="W11" s="3"/>
    </row>
    <row r="12" spans="1:23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F12" s="3"/>
      <c r="G12" s="3"/>
      <c r="H12" s="3"/>
      <c r="I12" s="3"/>
      <c r="J12" s="3"/>
      <c r="K12" s="3"/>
      <c r="L12" s="3"/>
      <c r="M12" s="3"/>
      <c r="N12" s="3"/>
      <c r="O12" s="3" t="s">
        <v>44</v>
      </c>
      <c r="P12" s="16">
        <v>3500</v>
      </c>
      <c r="Q12" s="3"/>
      <c r="R12" s="3"/>
      <c r="S12" s="3"/>
      <c r="T12" s="3"/>
      <c r="U12" s="3"/>
      <c r="V12" s="3"/>
      <c r="W12" s="3"/>
    </row>
    <row r="13" spans="1:23" x14ac:dyDescent="0.25">
      <c r="A13" s="19">
        <v>5.01</v>
      </c>
      <c r="B13" s="20" t="s">
        <v>45</v>
      </c>
      <c r="C13" s="21">
        <f>ROUND(((SUM(C14:C19))*0.05),-3)</f>
        <v>23000</v>
      </c>
      <c r="D13" s="22"/>
      <c r="F13" s="3"/>
      <c r="G13" s="3"/>
      <c r="H13" s="3"/>
      <c r="I13" s="3"/>
      <c r="J13" s="3"/>
      <c r="K13" s="3"/>
      <c r="L13" s="3"/>
      <c r="M13" s="3"/>
      <c r="N13" s="3"/>
      <c r="O13" s="3" t="s">
        <v>46</v>
      </c>
      <c r="P13" s="16">
        <v>10000</v>
      </c>
      <c r="Q13" s="3"/>
      <c r="R13" s="3"/>
      <c r="S13" s="3"/>
      <c r="T13" s="3"/>
      <c r="U13" s="3"/>
      <c r="V13" s="3"/>
      <c r="W13" s="3"/>
    </row>
    <row r="14" spans="1:23" x14ac:dyDescent="0.25">
      <c r="A14" s="19">
        <v>5.0199999999999996</v>
      </c>
      <c r="B14" s="20" t="s">
        <v>47</v>
      </c>
      <c r="C14" s="23">
        <f>ROUND((0.5*3*((SUM(G3:M3))/400)*$P$10),-3)</f>
        <v>10000</v>
      </c>
      <c r="D14" s="22"/>
      <c r="F14" s="3"/>
      <c r="G14" s="3"/>
      <c r="H14" s="3"/>
      <c r="I14" s="3"/>
      <c r="J14" s="3"/>
      <c r="K14" s="3"/>
      <c r="L14" s="3"/>
      <c r="M14" s="3"/>
      <c r="N14" s="3"/>
      <c r="O14" s="3" t="s">
        <v>48</v>
      </c>
      <c r="P14" s="16">
        <f>(160*8)+(160*1.5*2)</f>
        <v>1760</v>
      </c>
      <c r="Q14" s="3"/>
      <c r="R14" s="3"/>
      <c r="S14" s="3"/>
      <c r="T14" s="3"/>
      <c r="U14" s="3"/>
      <c r="V14" s="3"/>
      <c r="W14" s="3"/>
    </row>
    <row r="15" spans="1:23" x14ac:dyDescent="0.25">
      <c r="A15" s="19">
        <v>5.03</v>
      </c>
      <c r="B15" s="20" t="s">
        <v>49</v>
      </c>
      <c r="C15" s="21">
        <f>ROUND(($P$13*(((SUM(G3:M3)))/1000)),-3)</f>
        <v>17000</v>
      </c>
      <c r="D15" s="22"/>
      <c r="F15" s="3"/>
      <c r="G15" s="3"/>
      <c r="H15" s="3"/>
      <c r="I15" s="3"/>
      <c r="J15" s="3"/>
      <c r="K15" s="3"/>
      <c r="L15" s="3"/>
      <c r="M15" s="3"/>
      <c r="N15" s="3"/>
    </row>
    <row r="16" spans="1:23" x14ac:dyDescent="0.25">
      <c r="A16" s="19">
        <v>5.04</v>
      </c>
      <c r="B16" s="20" t="s">
        <v>50</v>
      </c>
      <c r="C16" s="23">
        <f>ROUND(((SUM(G4:M4))),-3)</f>
        <v>23000</v>
      </c>
      <c r="D16" s="22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9">
        <v>5.05</v>
      </c>
      <c r="B17" s="20" t="s">
        <v>51</v>
      </c>
      <c r="C17" s="21">
        <f>ROUND((SUM(G5:M5)),-3)</f>
        <v>360000</v>
      </c>
      <c r="D17" s="22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19">
        <v>5.0599999999999996</v>
      </c>
      <c r="B18" s="24" t="s">
        <v>52</v>
      </c>
      <c r="C18" s="25">
        <v>0</v>
      </c>
      <c r="D18" s="26"/>
      <c r="E18" t="s">
        <v>53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19">
        <v>5.07</v>
      </c>
      <c r="B19" s="24" t="s">
        <v>54</v>
      </c>
      <c r="C19" s="25">
        <f>ROUND((G7*G8),-3)</f>
        <v>45000</v>
      </c>
      <c r="D19" s="26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thickBot="1" x14ac:dyDescent="0.3">
      <c r="A20" s="27">
        <v>6.01</v>
      </c>
      <c r="B20" s="28" t="s">
        <v>55</v>
      </c>
      <c r="C20" s="29">
        <f>ROUND((C3*0.15),-3)</f>
        <v>4000</v>
      </c>
      <c r="D20" s="30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thickTop="1" x14ac:dyDescent="0.25">
      <c r="A21" s="31"/>
      <c r="B21" s="32" t="s">
        <v>56</v>
      </c>
      <c r="C21" s="33">
        <f>ROUNDUP((SUM(C3:C20)),-4)</f>
        <v>560000</v>
      </c>
      <c r="D21" s="33">
        <f>SUM(D3:D20)</f>
        <v>0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1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B29" t="s">
        <v>57</v>
      </c>
      <c r="C29" s="34">
        <f>SUM(C3:C6)</f>
        <v>25000</v>
      </c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B30" t="s">
        <v>58</v>
      </c>
      <c r="C30" s="34">
        <f>SUM(C7:C9)</f>
        <v>53000</v>
      </c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B31" t="s">
        <v>59</v>
      </c>
      <c r="C31" s="34">
        <f>SUM(C10:C20)</f>
        <v>482000</v>
      </c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B32" t="s">
        <v>60</v>
      </c>
      <c r="C32" s="34">
        <f>SUM(C29:C31)</f>
        <v>560000</v>
      </c>
      <c r="F32" s="3"/>
      <c r="G32" s="3"/>
      <c r="H32" s="3"/>
      <c r="I32" s="3"/>
      <c r="J32" s="3"/>
      <c r="K32" s="3"/>
      <c r="L32" s="3"/>
      <c r="M32" s="3"/>
      <c r="N32" s="3"/>
    </row>
    <row r="33" spans="6:14" x14ac:dyDescent="0.25">
      <c r="F33" s="3"/>
      <c r="G33" s="3"/>
      <c r="H33" s="3"/>
      <c r="I33" s="3"/>
      <c r="J33" s="3"/>
      <c r="K33" s="3"/>
      <c r="L33" s="3"/>
      <c r="M33" s="3"/>
      <c r="N33" s="3"/>
    </row>
    <row r="34" spans="6:14" x14ac:dyDescent="0.25">
      <c r="F34" s="3"/>
      <c r="G34" s="3"/>
      <c r="H34" s="3"/>
      <c r="I34" s="3"/>
      <c r="J34" s="3"/>
      <c r="K34" s="3"/>
      <c r="L34" s="3"/>
      <c r="M34" s="3"/>
      <c r="N34" s="3"/>
    </row>
    <row r="35" spans="6:14" x14ac:dyDescent="0.25">
      <c r="F35" s="3"/>
      <c r="G35" s="3"/>
      <c r="H35" s="3"/>
      <c r="I35" s="3"/>
      <c r="J35" s="3"/>
      <c r="K35" s="3"/>
      <c r="L35" s="3"/>
      <c r="M35" s="3"/>
      <c r="N35" s="3"/>
    </row>
    <row r="36" spans="6:14" x14ac:dyDescent="0.25">
      <c r="F36" s="3"/>
      <c r="G36" s="3"/>
      <c r="H36" s="3"/>
      <c r="I36" s="3"/>
      <c r="J36" s="3"/>
      <c r="K36" s="3"/>
      <c r="L36" s="3"/>
      <c r="M36" s="3"/>
      <c r="N36" s="3"/>
    </row>
    <row r="37" spans="6:14" x14ac:dyDescent="0.25">
      <c r="F37" s="3"/>
      <c r="G37" s="3"/>
      <c r="H37" s="3"/>
      <c r="I37" s="3"/>
      <c r="J37" s="3"/>
      <c r="K37" s="3"/>
      <c r="L37" s="3"/>
      <c r="M37" s="3"/>
      <c r="N37" s="3"/>
    </row>
    <row r="38" spans="6:14" x14ac:dyDescent="0.25">
      <c r="F38" s="3"/>
      <c r="G38" s="3"/>
      <c r="H38" s="3"/>
      <c r="I38" s="3"/>
      <c r="J38" s="3"/>
      <c r="K38" s="3"/>
      <c r="L38" s="3"/>
      <c r="M38" s="3"/>
      <c r="N38" s="3"/>
    </row>
    <row r="39" spans="6:14" x14ac:dyDescent="0.25">
      <c r="F39" s="3"/>
      <c r="G39" s="3"/>
      <c r="H39" s="3"/>
      <c r="I39" s="3"/>
      <c r="J39" s="3"/>
      <c r="K39" s="3"/>
      <c r="L39" s="3"/>
      <c r="M39" s="3"/>
      <c r="N39" s="3"/>
    </row>
    <row r="40" spans="6:14" x14ac:dyDescent="0.25">
      <c r="F40" s="3"/>
      <c r="G40" s="3"/>
      <c r="H40" s="3"/>
      <c r="I40" s="3"/>
      <c r="J40" s="3"/>
      <c r="K40" s="3"/>
      <c r="L40" s="3"/>
      <c r="M40" s="3"/>
      <c r="N40" s="3"/>
    </row>
    <row r="41" spans="6:14" x14ac:dyDescent="0.25">
      <c r="F41" s="3"/>
      <c r="G41" s="3"/>
      <c r="H41" s="3"/>
      <c r="I41" s="3"/>
      <c r="J41" s="3"/>
      <c r="K41" s="3"/>
      <c r="L41" s="3"/>
      <c r="M41" s="3"/>
      <c r="N41" s="3"/>
    </row>
  </sheetData>
  <mergeCells count="2">
    <mergeCell ref="C2:D2"/>
    <mergeCell ref="O2:P2"/>
  </mergeCells>
  <hyperlinks>
    <hyperlink ref="A1" location="'Matrix+Cover Sheet'!B41" display="Cover Sheet" xr:uid="{9C0EDE90-3C5C-4FB3-97DB-87CC23837D9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ECEB-706D-4A00-ABE3-3DD60D1AA156}">
  <dimension ref="A1:Y37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88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89000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340+75+340+415+70+60+190+250+400+400+400+380+490</f>
        <v>3810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57150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3000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60000</v>
      </c>
      <c r="D7" s="14"/>
      <c r="E7" t="s">
        <v>26</v>
      </c>
      <c r="G7" s="3" t="s">
        <v>67</v>
      </c>
      <c r="H7" s="35">
        <f>H4*R5</f>
        <v>1047750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60000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50000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8000</v>
      </c>
      <c r="D10" s="14"/>
      <c r="E10" t="s">
        <v>69</v>
      </c>
      <c r="G10" s="3"/>
      <c r="H10" s="12">
        <f>SUM(H4:O4)</f>
        <v>3810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57000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29000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57000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1048000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7000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1470000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92000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170000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1206000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1468000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hyperlinks>
    <hyperlink ref="A1" location="'Matrix+Cover Sheet'!B41" display="Cover Sheet" xr:uid="{ACB2EBDB-2171-4F0B-B26C-A0B106555C1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438F-42D3-4722-AFC1-78AE2BBAAEDA}">
  <dimension ref="A1:Y37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94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35000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340+75+340+415+70+60+190</f>
        <v>1490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22350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1000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23000</v>
      </c>
      <c r="D7" s="14"/>
      <c r="E7" t="s">
        <v>26</v>
      </c>
      <c r="G7" s="3" t="s">
        <v>67</v>
      </c>
      <c r="H7" s="35">
        <f>H4*R5</f>
        <v>409750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23000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20000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3000</v>
      </c>
      <c r="D10" s="14"/>
      <c r="E10" t="s">
        <v>69</v>
      </c>
      <c r="G10" s="3"/>
      <c r="H10" s="12">
        <f>SUM(H4:O4)</f>
        <v>1490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22000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11000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22000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410000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3000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580000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36000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66000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471000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573000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hyperlinks>
    <hyperlink ref="A1" location="'Matrix+Cover Sheet'!B41" display="Cover Sheet" xr:uid="{DE054C95-9F18-444E-ADC8-D6664A33B2E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AA9C-3BB0-4991-B50B-A33C9B9FC1BF}">
  <dimension ref="A1:Y37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93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43000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250+400+400+400+380</f>
        <v>1830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27450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1000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29000</v>
      </c>
      <c r="D7" s="14"/>
      <c r="E7" t="s">
        <v>26</v>
      </c>
      <c r="G7" s="3" t="s">
        <v>67</v>
      </c>
      <c r="H7" s="35">
        <f>H4*R5</f>
        <v>503250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29000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24000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4000</v>
      </c>
      <c r="D10" s="14"/>
      <c r="E10" t="s">
        <v>69</v>
      </c>
      <c r="G10" s="3"/>
      <c r="H10" s="12">
        <f>SUM(H4:O4)</f>
        <v>1830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27000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14000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27000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503000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3000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710000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44000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82000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578000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704000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hyperlinks>
    <hyperlink ref="A1" location="'Matrix+Cover Sheet'!B41" display="Cover Sheet" xr:uid="{D4063FCE-75F1-464E-8A36-846C968FC02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4BA7-D979-4A8D-A82E-67ADE457A856}">
  <dimension ref="A1:Y37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 t="s">
        <v>404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95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11000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490</f>
        <v>490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7350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8000</v>
      </c>
      <c r="D7" s="14"/>
      <c r="E7" t="s">
        <v>26</v>
      </c>
      <c r="G7" s="3" t="s">
        <v>67</v>
      </c>
      <c r="H7" s="35">
        <f>H4*R5</f>
        <v>134750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8000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6000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1000</v>
      </c>
      <c r="D10" s="14"/>
      <c r="E10" t="s">
        <v>69</v>
      </c>
      <c r="G10" s="3"/>
      <c r="H10" s="12">
        <f>SUM(H4:O4)</f>
        <v>490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4000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135000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1000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190000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E28" s="3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11000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22000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155000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188000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hyperlinks>
    <hyperlink ref="A1" location="'Matrix+Cover Sheet'!B41" display="Cover Sheet" xr:uid="{E260EB17-5EB5-4D8F-AC23-744B22246BD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55AD-A250-4687-9F8D-C796E050C886}">
  <dimension ref="A1:X32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62.28515625" bestFit="1" customWidth="1"/>
    <col min="3" max="3" width="12.28515625" bestFit="1" customWidth="1"/>
    <col min="4" max="4" width="6.5703125" bestFit="1" customWidth="1"/>
    <col min="5" max="5" width="49.85546875" bestFit="1" customWidth="1"/>
    <col min="6" max="6" width="7.42578125" bestFit="1" customWidth="1"/>
    <col min="7" max="11" width="6.42578125" bestFit="1" customWidth="1"/>
    <col min="12" max="12" width="12.7109375" bestFit="1" customWidth="1"/>
    <col min="13" max="13" width="6.42578125" bestFit="1" customWidth="1"/>
    <col min="17" max="17" width="34.140625" bestFit="1" customWidth="1"/>
    <col min="18" max="18" width="8.85546875" bestFit="1" customWidth="1"/>
    <col min="19" max="19" width="5.140625" bestFit="1" customWidth="1"/>
    <col min="20" max="24" width="6.28515625" bestFit="1" customWidth="1"/>
  </cols>
  <sheetData>
    <row r="1" spans="1:24" x14ac:dyDescent="0.25">
      <c r="A1" s="1" t="s">
        <v>404</v>
      </c>
      <c r="B1" t="s">
        <v>81</v>
      </c>
      <c r="F1" s="3"/>
      <c r="G1" s="3"/>
      <c r="H1" s="3"/>
      <c r="I1" s="3"/>
      <c r="J1" s="3"/>
      <c r="K1" s="3"/>
      <c r="L1" s="3"/>
      <c r="M1" s="3"/>
    </row>
    <row r="2" spans="1:24" x14ac:dyDescent="0.25">
      <c r="A2" s="4" t="s">
        <v>2</v>
      </c>
      <c r="B2" s="5" t="s">
        <v>82</v>
      </c>
      <c r="C2" s="121" t="s">
        <v>3</v>
      </c>
      <c r="D2" s="122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Q2" s="123" t="s">
        <v>11</v>
      </c>
      <c r="R2" s="123"/>
      <c r="S2" s="3"/>
      <c r="T2" s="3"/>
      <c r="U2" s="3"/>
      <c r="V2" s="3"/>
      <c r="W2" s="3"/>
      <c r="X2" s="3"/>
    </row>
    <row r="3" spans="1:24" x14ac:dyDescent="0.25">
      <c r="A3" s="8">
        <v>1.01</v>
      </c>
      <c r="B3" s="9" t="s">
        <v>12</v>
      </c>
      <c r="C3" s="10">
        <f>ROUND((SUM(C13:C19)*0.075),-3)</f>
        <v>73000</v>
      </c>
      <c r="D3" s="11"/>
      <c r="E3" t="s">
        <v>62</v>
      </c>
      <c r="F3" s="3" t="s">
        <v>14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f>143+118+450+288+452+163+240+205+387+34</f>
        <v>2480</v>
      </c>
      <c r="M3" s="12">
        <v>0</v>
      </c>
      <c r="Q3" s="3"/>
      <c r="R3" s="3" t="s">
        <v>4</v>
      </c>
      <c r="S3" s="6" t="s">
        <v>5</v>
      </c>
      <c r="T3" s="3" t="s">
        <v>6</v>
      </c>
      <c r="U3" s="3" t="s">
        <v>7</v>
      </c>
      <c r="V3" s="3" t="s">
        <v>8</v>
      </c>
      <c r="W3" s="3" t="s">
        <v>9</v>
      </c>
      <c r="X3" s="3" t="s">
        <v>10</v>
      </c>
    </row>
    <row r="4" spans="1:24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>G3*R5</f>
        <v>0</v>
      </c>
      <c r="H4" s="15">
        <f t="shared" ref="H4:M4" si="0">H3*S5</f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37200</v>
      </c>
      <c r="M4" s="15">
        <f t="shared" si="0"/>
        <v>0</v>
      </c>
      <c r="Q4" s="3" t="s">
        <v>17</v>
      </c>
      <c r="R4" s="16">
        <v>50</v>
      </c>
      <c r="S4" s="16">
        <v>60</v>
      </c>
      <c r="T4" s="16">
        <v>100</v>
      </c>
      <c r="U4" s="16">
        <v>200</v>
      </c>
      <c r="V4" s="16">
        <v>225</v>
      </c>
      <c r="W4" s="16">
        <v>250</v>
      </c>
      <c r="X4" s="16">
        <v>300</v>
      </c>
    </row>
    <row r="5" spans="1:24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>G3*R4</f>
        <v>0</v>
      </c>
      <c r="H5" s="15">
        <f t="shared" ref="H5:M5" si="1">H3*S4</f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620000</v>
      </c>
      <c r="M5" s="15">
        <f t="shared" si="1"/>
        <v>0</v>
      </c>
      <c r="Q5" s="3" t="s">
        <v>21</v>
      </c>
      <c r="R5" s="16">
        <v>10</v>
      </c>
      <c r="S5" s="16">
        <v>10</v>
      </c>
      <c r="T5" s="16">
        <v>10</v>
      </c>
      <c r="U5" s="16">
        <v>12</v>
      </c>
      <c r="V5" s="16">
        <v>15</v>
      </c>
      <c r="W5" s="16">
        <v>15</v>
      </c>
      <c r="X5" s="16">
        <v>20</v>
      </c>
    </row>
    <row r="6" spans="1:24" x14ac:dyDescent="0.25">
      <c r="A6" s="8">
        <v>2.02</v>
      </c>
      <c r="B6" s="9" t="s">
        <v>22</v>
      </c>
      <c r="C6" s="10">
        <f>ROUND((((SUM(C13:C19))/1000000)*2500),-3)</f>
        <v>2000</v>
      </c>
      <c r="D6" s="14"/>
      <c r="E6" t="s">
        <v>23</v>
      </c>
      <c r="F6" s="3"/>
      <c r="G6" s="15"/>
      <c r="H6" s="15"/>
      <c r="I6" s="15"/>
      <c r="J6" s="15"/>
      <c r="K6" s="15"/>
      <c r="L6" s="15"/>
      <c r="M6" s="15"/>
      <c r="Q6" s="3" t="s">
        <v>24</v>
      </c>
      <c r="R6" s="18">
        <v>75</v>
      </c>
      <c r="S6" s="15"/>
      <c r="T6" s="15"/>
      <c r="U6" s="15"/>
      <c r="V6" s="15"/>
      <c r="W6" s="15"/>
      <c r="X6" s="15"/>
    </row>
    <row r="7" spans="1:24" x14ac:dyDescent="0.25">
      <c r="A7" s="19">
        <v>3.01</v>
      </c>
      <c r="B7" s="9" t="s">
        <v>25</v>
      </c>
      <c r="C7" s="10">
        <f>ROUND((SUM(C13:C19)*0.1),-3)</f>
        <v>98000</v>
      </c>
      <c r="D7" s="14"/>
      <c r="E7" t="s">
        <v>83</v>
      </c>
      <c r="F7" s="3"/>
      <c r="G7" s="15"/>
      <c r="H7" s="15"/>
      <c r="I7" s="15"/>
      <c r="J7" s="15"/>
      <c r="K7" s="15"/>
      <c r="L7" s="15"/>
      <c r="M7" s="15"/>
      <c r="Q7" s="3" t="s">
        <v>28</v>
      </c>
      <c r="R7" s="18">
        <v>200</v>
      </c>
      <c r="S7" s="3"/>
      <c r="T7" s="3"/>
      <c r="U7" s="3"/>
      <c r="V7" s="3"/>
      <c r="W7" s="3"/>
      <c r="X7" s="3"/>
    </row>
    <row r="8" spans="1:24" x14ac:dyDescent="0.25">
      <c r="A8" s="19">
        <v>3.02</v>
      </c>
      <c r="B8" s="9" t="s">
        <v>29</v>
      </c>
      <c r="C8" s="10">
        <f>ROUND((SUM(C13:C19)*0.05),-3)</f>
        <v>49000</v>
      </c>
      <c r="D8" s="14"/>
      <c r="E8" t="s">
        <v>68</v>
      </c>
      <c r="F8" s="3"/>
      <c r="G8" s="15"/>
      <c r="H8" s="15"/>
      <c r="I8" s="15"/>
      <c r="J8" s="15"/>
      <c r="K8" s="15"/>
      <c r="L8" s="15"/>
      <c r="M8" s="15"/>
      <c r="Q8" s="3" t="s">
        <v>32</v>
      </c>
      <c r="R8" s="16">
        <v>1500</v>
      </c>
      <c r="S8" s="3"/>
      <c r="T8" s="3"/>
      <c r="U8" s="3"/>
      <c r="V8" s="3"/>
      <c r="W8" s="3"/>
      <c r="X8" s="3"/>
    </row>
    <row r="9" spans="1:24" x14ac:dyDescent="0.25">
      <c r="A9" s="19">
        <v>3.03</v>
      </c>
      <c r="B9" s="9" t="s">
        <v>33</v>
      </c>
      <c r="C9" s="17">
        <f>ROUND(((3*(SUM(G3:M3))/400)*$R$15),-3)</f>
        <v>33000</v>
      </c>
      <c r="D9" s="14"/>
      <c r="E9" t="s">
        <v>34</v>
      </c>
      <c r="F9" s="3"/>
      <c r="G9" s="15"/>
      <c r="H9" s="15"/>
      <c r="I9" s="15"/>
      <c r="J9" s="15"/>
      <c r="K9" s="15"/>
      <c r="L9" s="15"/>
      <c r="M9" s="15"/>
      <c r="Q9" s="3" t="s">
        <v>35</v>
      </c>
      <c r="R9" s="16">
        <v>4000</v>
      </c>
      <c r="S9" s="3"/>
      <c r="T9" s="3"/>
      <c r="U9" s="3"/>
      <c r="V9" s="3"/>
      <c r="W9" s="3"/>
      <c r="X9" s="3"/>
    </row>
    <row r="10" spans="1:24" x14ac:dyDescent="0.25">
      <c r="A10" s="19">
        <v>3.04</v>
      </c>
      <c r="B10" s="9" t="s">
        <v>36</v>
      </c>
      <c r="C10" s="10">
        <v>0</v>
      </c>
      <c r="D10" s="14"/>
      <c r="E10" t="s">
        <v>84</v>
      </c>
      <c r="F10" s="3"/>
      <c r="G10" s="15"/>
      <c r="H10" s="15"/>
      <c r="I10" s="15"/>
      <c r="J10" s="15"/>
      <c r="K10" s="15"/>
      <c r="L10" s="15"/>
      <c r="M10" s="15"/>
      <c r="Q10" s="3" t="s">
        <v>38</v>
      </c>
      <c r="R10" s="16">
        <v>1500</v>
      </c>
      <c r="S10" s="3"/>
      <c r="T10" s="3"/>
      <c r="U10" s="3"/>
      <c r="V10" s="3"/>
      <c r="W10" s="3"/>
      <c r="X10" s="3"/>
    </row>
    <row r="11" spans="1:24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F11" s="3"/>
      <c r="G11" s="15"/>
      <c r="H11" s="15"/>
      <c r="I11" s="15"/>
      <c r="J11" s="15"/>
      <c r="K11" s="15"/>
      <c r="L11" s="15"/>
      <c r="M11" s="15"/>
      <c r="Q11" s="3" t="s">
        <v>41</v>
      </c>
      <c r="R11" s="16">
        <v>3000</v>
      </c>
      <c r="S11" s="3"/>
      <c r="T11" s="3"/>
      <c r="U11" s="3"/>
      <c r="V11" s="3"/>
      <c r="W11" s="3"/>
      <c r="X11" s="3"/>
    </row>
    <row r="12" spans="1:24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F12" s="3"/>
      <c r="G12" s="15"/>
      <c r="H12" s="15"/>
      <c r="I12" s="15"/>
      <c r="J12" s="15"/>
      <c r="K12" s="15"/>
      <c r="L12" s="15"/>
      <c r="M12" s="15"/>
      <c r="Q12" s="3" t="s">
        <v>44</v>
      </c>
      <c r="R12" s="16">
        <v>3500</v>
      </c>
      <c r="S12" s="3"/>
      <c r="T12" s="3"/>
      <c r="U12" s="3"/>
      <c r="V12" s="3"/>
      <c r="W12" s="3"/>
      <c r="X12" s="3"/>
    </row>
    <row r="13" spans="1:24" x14ac:dyDescent="0.25">
      <c r="A13" s="19">
        <v>5.01</v>
      </c>
      <c r="B13" s="20" t="s">
        <v>45</v>
      </c>
      <c r="C13" s="21">
        <f>ROUND(((SUM(C14:C19))*0.05),-3)</f>
        <v>47000</v>
      </c>
      <c r="D13" s="22"/>
      <c r="F13" s="3"/>
      <c r="G13" s="15"/>
      <c r="H13" s="15"/>
      <c r="I13" s="15"/>
      <c r="J13" s="15"/>
      <c r="K13" s="15"/>
      <c r="L13" s="15"/>
      <c r="M13" s="15"/>
      <c r="Q13" s="3" t="s">
        <v>46</v>
      </c>
      <c r="R13" s="16">
        <v>10000</v>
      </c>
      <c r="S13" s="3"/>
      <c r="T13" s="3"/>
      <c r="U13" s="3"/>
      <c r="V13" s="3"/>
      <c r="W13" s="3"/>
      <c r="X13" s="3"/>
    </row>
    <row r="14" spans="1:24" x14ac:dyDescent="0.25">
      <c r="A14" s="19">
        <v>5.0199999999999996</v>
      </c>
      <c r="B14" s="20" t="s">
        <v>72</v>
      </c>
      <c r="C14" s="23">
        <f>ROUND((3*((SUM(G3:M3))/400)*$R$11),-3)</f>
        <v>56000</v>
      </c>
      <c r="D14" s="22"/>
      <c r="F14" s="3"/>
      <c r="G14" s="3"/>
      <c r="H14" s="3"/>
      <c r="I14" s="3"/>
      <c r="J14" s="3"/>
      <c r="K14" s="3"/>
      <c r="L14" s="3"/>
      <c r="M14" s="3"/>
      <c r="Q14" s="3" t="s">
        <v>75</v>
      </c>
      <c r="R14" s="16">
        <v>15000</v>
      </c>
      <c r="S14" s="3"/>
      <c r="T14" s="3"/>
      <c r="U14" s="3"/>
      <c r="V14" s="3"/>
      <c r="W14" s="3"/>
      <c r="X14" s="3"/>
    </row>
    <row r="15" spans="1:24" x14ac:dyDescent="0.25">
      <c r="A15" s="19">
        <v>5.03</v>
      </c>
      <c r="B15" s="20" t="s">
        <v>49</v>
      </c>
      <c r="C15" s="21">
        <f>ROUND(($R$14*(((SUM(G3:M3)))/1000)),-3)</f>
        <v>37000</v>
      </c>
      <c r="D15" s="22"/>
      <c r="F15" s="3"/>
      <c r="G15" s="3"/>
      <c r="H15" s="3"/>
      <c r="I15" s="3"/>
      <c r="J15" s="3"/>
      <c r="K15" s="3"/>
      <c r="L15" s="3"/>
      <c r="M15" s="3"/>
      <c r="Q15" s="3" t="s">
        <v>48</v>
      </c>
      <c r="R15" s="16">
        <f>(160*8)+(160*1.5*2)</f>
        <v>1760</v>
      </c>
    </row>
    <row r="16" spans="1:24" x14ac:dyDescent="0.25">
      <c r="A16" s="19">
        <v>5.04</v>
      </c>
      <c r="B16" s="20" t="s">
        <v>50</v>
      </c>
      <c r="C16" s="23">
        <f>ROUND(((SUM(G4:M4))),-3)</f>
        <v>37000</v>
      </c>
      <c r="D16" s="22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9">
        <v>5.05</v>
      </c>
      <c r="B17" s="20" t="s">
        <v>51</v>
      </c>
      <c r="C17" s="21">
        <f>ROUND((SUM(G5:M5)),-3)</f>
        <v>620000</v>
      </c>
      <c r="D17" s="22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9">
        <v>5.0599999999999996</v>
      </c>
      <c r="B18" s="24" t="s">
        <v>85</v>
      </c>
      <c r="C18" s="25">
        <f>ROUND((((SUM(G3:M3))/R6)*R8),-3)</f>
        <v>50000</v>
      </c>
      <c r="D18" s="26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9">
        <v>5.07</v>
      </c>
      <c r="B19" s="24" t="s">
        <v>35</v>
      </c>
      <c r="C19" s="25">
        <f>ROUND((((SUM(G3:M3))/R6)*R9),-3)</f>
        <v>132000</v>
      </c>
      <c r="D19" s="26"/>
      <c r="F19" s="3"/>
      <c r="G19" s="3"/>
      <c r="H19" s="3"/>
      <c r="I19" s="3"/>
      <c r="J19" s="3"/>
      <c r="K19" s="3"/>
      <c r="L19" s="3"/>
      <c r="M19" s="3"/>
    </row>
    <row r="20" spans="1:13" ht="15.75" thickBot="1" x14ac:dyDescent="0.3">
      <c r="A20" s="27">
        <v>6.01</v>
      </c>
      <c r="B20" s="28" t="s">
        <v>55</v>
      </c>
      <c r="C20" s="29">
        <f>ROUND((C3*0.075),-3)</f>
        <v>5000</v>
      </c>
      <c r="D20" s="30"/>
      <c r="F20" s="3"/>
      <c r="G20" s="3"/>
      <c r="H20" s="3"/>
      <c r="I20" s="3"/>
      <c r="J20" s="3"/>
      <c r="K20" s="3"/>
      <c r="L20" s="3"/>
      <c r="M20" s="3"/>
    </row>
    <row r="21" spans="1:13" ht="15.75" thickTop="1" x14ac:dyDescent="0.25">
      <c r="A21" s="31"/>
      <c r="B21" s="32" t="s">
        <v>56</v>
      </c>
      <c r="C21" s="33">
        <f>ROUNDUP((SUM(C3:C20)),-4)</f>
        <v>1240000</v>
      </c>
      <c r="D21" s="33">
        <f>SUM(D3:D20)</f>
        <v>0</v>
      </c>
      <c r="F21" s="3"/>
      <c r="G21" s="3"/>
      <c r="H21" s="3"/>
      <c r="I21" s="3"/>
      <c r="J21" s="3"/>
      <c r="K21" s="3"/>
      <c r="L21" s="3"/>
      <c r="M21" s="3"/>
    </row>
    <row r="22" spans="1:13" x14ac:dyDescent="0.25">
      <c r="B22" s="40" t="s">
        <v>86</v>
      </c>
      <c r="C22" s="34">
        <f>C21-(C3*0.95)-(C7*0.95)-(C8*0.95)</f>
        <v>1031000</v>
      </c>
      <c r="F22" s="3"/>
      <c r="G22" s="3"/>
      <c r="H22" s="3"/>
      <c r="I22" s="3"/>
      <c r="J22" s="3"/>
      <c r="K22" s="3"/>
      <c r="L22" s="3"/>
      <c r="M22" s="3"/>
    </row>
    <row r="29" spans="1:13" x14ac:dyDescent="0.25">
      <c r="B29" t="s">
        <v>57</v>
      </c>
      <c r="C29" s="34">
        <f>SUM(C3:C6)</f>
        <v>75000</v>
      </c>
    </row>
    <row r="30" spans="1:13" x14ac:dyDescent="0.25">
      <c r="B30" t="s">
        <v>58</v>
      </c>
      <c r="C30" s="34">
        <f>SUM(C7:C9)</f>
        <v>180000</v>
      </c>
    </row>
    <row r="31" spans="1:13" x14ac:dyDescent="0.25">
      <c r="B31" t="s">
        <v>59</v>
      </c>
      <c r="C31" s="34">
        <f>SUM(C10:C20)</f>
        <v>984000</v>
      </c>
    </row>
    <row r="32" spans="1:13" x14ac:dyDescent="0.25">
      <c r="B32" t="s">
        <v>60</v>
      </c>
      <c r="C32" s="34">
        <f>SUM(C29:C31)</f>
        <v>1239000</v>
      </c>
    </row>
  </sheetData>
  <mergeCells count="2">
    <mergeCell ref="C2:D2"/>
    <mergeCell ref="Q2:R2"/>
  </mergeCells>
  <hyperlinks>
    <hyperlink ref="A1" location="'Matrix+Cover Sheet'!B41" display="Cover Sheet" xr:uid="{C7BFBA54-E1FD-4EC1-9BCA-9484AF46403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511D-1795-4A6B-9BC4-67820AF31DAB}">
  <dimension ref="A1:X32"/>
  <sheetViews>
    <sheetView zoomScale="80" zoomScaleNormal="80" workbookViewId="0"/>
  </sheetViews>
  <sheetFormatPr defaultRowHeight="15" x14ac:dyDescent="0.25"/>
  <cols>
    <col min="1" max="1" width="11.7109375" bestFit="1" customWidth="1"/>
    <col min="2" max="2" width="64.85546875" bestFit="1" customWidth="1"/>
    <col min="3" max="3" width="10.7109375" bestFit="1" customWidth="1"/>
    <col min="4" max="4" width="6.5703125" bestFit="1" customWidth="1"/>
    <col min="5" max="5" width="49.85546875" bestFit="1" customWidth="1"/>
    <col min="6" max="6" width="7.42578125" bestFit="1" customWidth="1"/>
    <col min="7" max="7" width="6.7109375" bestFit="1" customWidth="1"/>
    <col min="8" max="8" width="8.42578125" bestFit="1" customWidth="1"/>
    <col min="9" max="9" width="6.7109375" bestFit="1" customWidth="1"/>
    <col min="10" max="10" width="12.7109375" bestFit="1" customWidth="1"/>
    <col min="11" max="13" width="6.7109375" bestFit="1" customWidth="1"/>
    <col min="17" max="17" width="34.140625" bestFit="1" customWidth="1"/>
    <col min="18" max="18" width="8.85546875" bestFit="1" customWidth="1"/>
    <col min="19" max="19" width="5.140625" bestFit="1" customWidth="1"/>
    <col min="20" max="24" width="6.28515625" bestFit="1" customWidth="1"/>
  </cols>
  <sheetData>
    <row r="1" spans="1:24" x14ac:dyDescent="0.25">
      <c r="A1" s="1" t="s">
        <v>404</v>
      </c>
      <c r="B1" t="s">
        <v>87</v>
      </c>
    </row>
    <row r="2" spans="1:24" x14ac:dyDescent="0.25">
      <c r="A2" s="4" t="s">
        <v>2</v>
      </c>
      <c r="B2" s="5" t="s">
        <v>89</v>
      </c>
      <c r="C2" s="121" t="s">
        <v>3</v>
      </c>
      <c r="D2" s="122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Q2" s="123" t="s">
        <v>11</v>
      </c>
      <c r="R2" s="123"/>
      <c r="S2" s="3"/>
      <c r="T2" s="3"/>
      <c r="U2" s="3"/>
      <c r="V2" s="3"/>
      <c r="W2" s="3"/>
      <c r="X2" s="3"/>
    </row>
    <row r="3" spans="1:24" x14ac:dyDescent="0.25">
      <c r="A3" s="8">
        <v>1.01</v>
      </c>
      <c r="B3" s="9" t="s">
        <v>12</v>
      </c>
      <c r="C3" s="10">
        <f>ROUND((SUM(C13:C19)*0.1),-3)</f>
        <v>39000</v>
      </c>
      <c r="D3" s="11"/>
      <c r="E3" t="s">
        <v>96</v>
      </c>
      <c r="F3" s="3" t="s">
        <v>14</v>
      </c>
      <c r="G3" s="12">
        <v>0</v>
      </c>
      <c r="H3" s="12">
        <v>0</v>
      </c>
      <c r="I3" s="12">
        <v>0</v>
      </c>
      <c r="J3" s="12">
        <f>385+365+105+162+68</f>
        <v>1085</v>
      </c>
      <c r="K3" s="12">
        <v>0</v>
      </c>
      <c r="L3" s="12">
        <v>0</v>
      </c>
      <c r="M3" s="12">
        <v>0</v>
      </c>
      <c r="Q3" s="3"/>
      <c r="R3" s="3" t="s">
        <v>4</v>
      </c>
      <c r="S3" s="6" t="s">
        <v>5</v>
      </c>
      <c r="T3" s="3" t="s">
        <v>6</v>
      </c>
      <c r="U3" s="3" t="s">
        <v>7</v>
      </c>
      <c r="V3" s="3" t="s">
        <v>8</v>
      </c>
      <c r="W3" s="3" t="s">
        <v>9</v>
      </c>
      <c r="X3" s="3" t="s">
        <v>10</v>
      </c>
    </row>
    <row r="4" spans="1:24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>G3*R5</f>
        <v>0</v>
      </c>
      <c r="H4" s="15">
        <f t="shared" ref="H4:M4" si="0">H3*S5</f>
        <v>0</v>
      </c>
      <c r="I4" s="15">
        <f t="shared" si="0"/>
        <v>0</v>
      </c>
      <c r="J4" s="15">
        <f t="shared" si="0"/>
        <v>13020</v>
      </c>
      <c r="K4" s="15">
        <f t="shared" si="0"/>
        <v>0</v>
      </c>
      <c r="L4" s="15">
        <f t="shared" si="0"/>
        <v>0</v>
      </c>
      <c r="M4" s="15">
        <f t="shared" si="0"/>
        <v>0</v>
      </c>
      <c r="Q4" s="3" t="s">
        <v>17</v>
      </c>
      <c r="R4" s="16">
        <v>50</v>
      </c>
      <c r="S4" s="16">
        <v>60</v>
      </c>
      <c r="T4" s="16">
        <v>100</v>
      </c>
      <c r="U4" s="16">
        <v>200</v>
      </c>
      <c r="V4" s="16">
        <v>225</v>
      </c>
      <c r="W4" s="16">
        <v>250</v>
      </c>
      <c r="X4" s="16">
        <v>300</v>
      </c>
    </row>
    <row r="5" spans="1:24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>G3*R4</f>
        <v>0</v>
      </c>
      <c r="H5" s="15">
        <f t="shared" ref="H5:M5" si="1">H3*S4</f>
        <v>0</v>
      </c>
      <c r="I5" s="15">
        <f t="shared" si="1"/>
        <v>0</v>
      </c>
      <c r="J5" s="15">
        <f t="shared" si="1"/>
        <v>217000</v>
      </c>
      <c r="K5" s="15">
        <f t="shared" si="1"/>
        <v>0</v>
      </c>
      <c r="L5" s="15">
        <f t="shared" si="1"/>
        <v>0</v>
      </c>
      <c r="M5" s="15">
        <f t="shared" si="1"/>
        <v>0</v>
      </c>
      <c r="Q5" s="3" t="s">
        <v>21</v>
      </c>
      <c r="R5" s="16">
        <v>10</v>
      </c>
      <c r="S5" s="16">
        <v>10</v>
      </c>
      <c r="T5" s="16">
        <v>10</v>
      </c>
      <c r="U5" s="16">
        <v>12</v>
      </c>
      <c r="V5" s="16">
        <v>15</v>
      </c>
      <c r="W5" s="16">
        <v>15</v>
      </c>
      <c r="X5" s="16">
        <v>20</v>
      </c>
    </row>
    <row r="6" spans="1:24" x14ac:dyDescent="0.25">
      <c r="A6" s="8">
        <v>2.02</v>
      </c>
      <c r="B6" s="9" t="s">
        <v>22</v>
      </c>
      <c r="C6" s="10">
        <v>5000</v>
      </c>
      <c r="D6" s="14"/>
      <c r="Q6" s="3" t="s">
        <v>24</v>
      </c>
      <c r="R6" s="18">
        <v>75</v>
      </c>
      <c r="S6" s="15"/>
      <c r="T6" s="15"/>
      <c r="U6" s="15"/>
      <c r="V6" s="15"/>
      <c r="W6" s="15"/>
      <c r="X6" s="15"/>
    </row>
    <row r="7" spans="1:24" x14ac:dyDescent="0.25">
      <c r="A7" s="19">
        <v>3.01</v>
      </c>
      <c r="B7" s="9" t="s">
        <v>25</v>
      </c>
      <c r="C7" s="10">
        <f>ROUND((SUM(C13:C19)*0.1),-3)</f>
        <v>39000</v>
      </c>
      <c r="D7" s="14"/>
      <c r="E7" t="s">
        <v>83</v>
      </c>
      <c r="Q7" s="3" t="s">
        <v>28</v>
      </c>
      <c r="R7" s="18">
        <v>200</v>
      </c>
      <c r="S7" s="3"/>
      <c r="T7" s="3"/>
      <c r="U7" s="3"/>
      <c r="V7" s="3"/>
      <c r="W7" s="3"/>
      <c r="X7" s="3"/>
    </row>
    <row r="8" spans="1:24" x14ac:dyDescent="0.25">
      <c r="A8" s="19">
        <v>3.02</v>
      </c>
      <c r="B8" s="9" t="s">
        <v>29</v>
      </c>
      <c r="C8" s="10">
        <f>ROUND((SUM(C13:C19)*0.075),-3)</f>
        <v>29000</v>
      </c>
      <c r="D8" s="14"/>
      <c r="E8" t="s">
        <v>115</v>
      </c>
      <c r="Q8" s="3" t="s">
        <v>32</v>
      </c>
      <c r="R8" s="16">
        <v>1500</v>
      </c>
      <c r="S8" s="3"/>
      <c r="T8" s="3"/>
      <c r="U8" s="3"/>
      <c r="V8" s="3"/>
      <c r="W8" s="3"/>
      <c r="X8" s="3"/>
    </row>
    <row r="9" spans="1:24" x14ac:dyDescent="0.25">
      <c r="A9" s="19">
        <v>3.03</v>
      </c>
      <c r="B9" s="9" t="s">
        <v>33</v>
      </c>
      <c r="C9" s="17">
        <f>ROUND(((3*(SUM(G3:M3))/300)*$R$15),-3)</f>
        <v>19000</v>
      </c>
      <c r="D9" s="14"/>
      <c r="E9" t="s">
        <v>34</v>
      </c>
      <c r="Q9" s="3" t="s">
        <v>35</v>
      </c>
      <c r="R9" s="16">
        <v>4000</v>
      </c>
      <c r="S9" s="3"/>
      <c r="T9" s="3"/>
      <c r="U9" s="3"/>
      <c r="V9" s="3"/>
      <c r="W9" s="3"/>
      <c r="X9" s="3"/>
    </row>
    <row r="10" spans="1:24" x14ac:dyDescent="0.25">
      <c r="A10" s="19">
        <v>3.04</v>
      </c>
      <c r="B10" s="9" t="s">
        <v>36</v>
      </c>
      <c r="C10" s="10">
        <v>0</v>
      </c>
      <c r="D10" s="14"/>
      <c r="E10" t="s">
        <v>84</v>
      </c>
      <c r="Q10" s="3" t="s">
        <v>38</v>
      </c>
      <c r="R10" s="16">
        <v>1500</v>
      </c>
      <c r="S10" s="3"/>
      <c r="T10" s="3"/>
      <c r="U10" s="3"/>
      <c r="V10" s="3"/>
      <c r="W10" s="3"/>
      <c r="X10" s="3"/>
    </row>
    <row r="11" spans="1:24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Q11" s="3" t="s">
        <v>41</v>
      </c>
      <c r="R11" s="16">
        <v>3000</v>
      </c>
      <c r="S11" s="3"/>
      <c r="T11" s="3"/>
      <c r="U11" s="3"/>
      <c r="V11" s="3"/>
      <c r="W11" s="3"/>
      <c r="X11" s="3"/>
    </row>
    <row r="12" spans="1:24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Q12" s="3" t="s">
        <v>44</v>
      </c>
      <c r="R12" s="16">
        <v>3500</v>
      </c>
      <c r="S12" s="3"/>
      <c r="T12" s="3"/>
      <c r="U12" s="3"/>
      <c r="V12" s="3"/>
      <c r="W12" s="3"/>
      <c r="X12" s="3"/>
    </row>
    <row r="13" spans="1:24" x14ac:dyDescent="0.25">
      <c r="A13" s="19">
        <v>5.01</v>
      </c>
      <c r="B13" s="20" t="s">
        <v>45</v>
      </c>
      <c r="C13" s="21">
        <f>ROUND(((SUM(C14:C19))*0.05),-3)</f>
        <v>19000</v>
      </c>
      <c r="D13" s="22"/>
      <c r="Q13" s="3" t="s">
        <v>46</v>
      </c>
      <c r="R13" s="16">
        <v>10000</v>
      </c>
      <c r="S13" s="3"/>
      <c r="T13" s="3"/>
      <c r="U13" s="3"/>
      <c r="V13" s="3"/>
      <c r="W13" s="3"/>
      <c r="X13" s="3"/>
    </row>
    <row r="14" spans="1:24" x14ac:dyDescent="0.25">
      <c r="A14" s="19">
        <v>5.0199999999999996</v>
      </c>
      <c r="B14" s="20" t="s">
        <v>72</v>
      </c>
      <c r="C14" s="23">
        <f>ROUND((3*((SUM(G3:M3))/200)*$R$12),-3)</f>
        <v>57000</v>
      </c>
      <c r="D14" s="22"/>
      <c r="Q14" s="3" t="s">
        <v>90</v>
      </c>
      <c r="R14" s="16">
        <v>15000</v>
      </c>
      <c r="S14" s="3"/>
      <c r="T14" s="3"/>
      <c r="U14" s="3"/>
      <c r="V14" s="3"/>
      <c r="W14" s="3"/>
      <c r="X14" s="3"/>
    </row>
    <row r="15" spans="1:24" x14ac:dyDescent="0.25">
      <c r="A15" s="19">
        <v>5.03</v>
      </c>
      <c r="B15" s="20" t="s">
        <v>49</v>
      </c>
      <c r="C15" s="21">
        <f>ROUND(($R$14*(((SUM(G3:M3)))/300)),-3)</f>
        <v>54000</v>
      </c>
      <c r="D15" s="22"/>
      <c r="E15" t="s">
        <v>91</v>
      </c>
      <c r="Q15" s="3" t="s">
        <v>48</v>
      </c>
      <c r="R15" s="16">
        <f>(160*8)+(160*1.5*2)</f>
        <v>1760</v>
      </c>
    </row>
    <row r="16" spans="1:24" x14ac:dyDescent="0.25">
      <c r="A16" s="19">
        <v>5.04</v>
      </c>
      <c r="B16" s="20" t="s">
        <v>50</v>
      </c>
      <c r="C16" s="23">
        <f>ROUND(((SUM(G4:M4))),-3)</f>
        <v>13000</v>
      </c>
      <c r="D16" s="22"/>
    </row>
    <row r="17" spans="1:4" x14ac:dyDescent="0.25">
      <c r="A17" s="19">
        <v>5.05</v>
      </c>
      <c r="B17" s="20" t="s">
        <v>51</v>
      </c>
      <c r="C17" s="21">
        <f>ROUND((SUM(G5:M5)),-3)</f>
        <v>217000</v>
      </c>
      <c r="D17" s="22"/>
    </row>
    <row r="18" spans="1:4" x14ac:dyDescent="0.25">
      <c r="A18" s="19">
        <v>5.0599999999999996</v>
      </c>
      <c r="B18" s="24" t="s">
        <v>85</v>
      </c>
      <c r="C18" s="25">
        <f>ROUND((((SUM(G3:M3))/R7)*R8),-3)</f>
        <v>8000</v>
      </c>
      <c r="D18" s="26"/>
    </row>
    <row r="19" spans="1:4" x14ac:dyDescent="0.25">
      <c r="A19" s="19">
        <v>5.07</v>
      </c>
      <c r="B19" s="24" t="s">
        <v>35</v>
      </c>
      <c r="C19" s="25">
        <f>ROUND((((SUM(G3:M3))/R7)*R9),-3)</f>
        <v>22000</v>
      </c>
      <c r="D19" s="26"/>
    </row>
    <row r="20" spans="1:4" ht="15.75" thickBot="1" x14ac:dyDescent="0.3">
      <c r="A20" s="27">
        <v>6.01</v>
      </c>
      <c r="B20" s="28" t="s">
        <v>55</v>
      </c>
      <c r="C20" s="29">
        <f>ROUND((C3*0.075),-3)</f>
        <v>3000</v>
      </c>
      <c r="D20" s="30"/>
    </row>
    <row r="21" spans="1:4" ht="15.75" thickTop="1" x14ac:dyDescent="0.25">
      <c r="A21" s="31"/>
      <c r="B21" s="32" t="s">
        <v>56</v>
      </c>
      <c r="C21" s="33">
        <f>ROUNDUP((SUM(C3:C20)),-4)</f>
        <v>530000</v>
      </c>
      <c r="D21" s="33">
        <f>SUM(D3:D20)</f>
        <v>0</v>
      </c>
    </row>
    <row r="29" spans="1:4" x14ac:dyDescent="0.25">
      <c r="B29" t="s">
        <v>57</v>
      </c>
      <c r="C29" s="34">
        <f>SUM(C3:C6)</f>
        <v>44000</v>
      </c>
    </row>
    <row r="30" spans="1:4" x14ac:dyDescent="0.25">
      <c r="B30" t="s">
        <v>58</v>
      </c>
      <c r="C30" s="34">
        <f>SUM(C7:C9)</f>
        <v>87000</v>
      </c>
    </row>
    <row r="31" spans="1:4" x14ac:dyDescent="0.25">
      <c r="B31" t="s">
        <v>59</v>
      </c>
      <c r="C31" s="34">
        <f>SUM(C10:C20)</f>
        <v>393000</v>
      </c>
    </row>
    <row r="32" spans="1:4" x14ac:dyDescent="0.25">
      <c r="B32" t="s">
        <v>60</v>
      </c>
      <c r="C32" s="34">
        <f>SUM(C29:C31)</f>
        <v>524000</v>
      </c>
    </row>
  </sheetData>
  <mergeCells count="2">
    <mergeCell ref="C2:D2"/>
    <mergeCell ref="Q2:R2"/>
  </mergeCells>
  <hyperlinks>
    <hyperlink ref="A1" location="'Matrix+Cover Sheet'!B41" display="Cover Sheet" xr:uid="{5339767C-69BD-4FE9-8701-331F801CE70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790E-68B5-475A-BFCE-21DAD55C5E59}">
  <dimension ref="A1:Y38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9" width="11.5703125" bestFit="1" customWidth="1"/>
    <col min="10" max="15" width="5" bestFit="1" customWidth="1"/>
    <col min="17" max="17" width="34.140625" bestFit="1" customWidth="1"/>
    <col min="18" max="18" width="8.85546875" bestFit="1" customWidth="1"/>
    <col min="19" max="23" width="6.28515625" bestFit="1" customWidth="1"/>
    <col min="24" max="25" width="7.85546875" bestFit="1" customWidth="1"/>
  </cols>
  <sheetData>
    <row r="1" spans="1:25" x14ac:dyDescent="0.25">
      <c r="A1" s="1" t="s">
        <v>404</v>
      </c>
      <c r="B1" t="s">
        <v>98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97</v>
      </c>
      <c r="C2" s="121" t="s">
        <v>3</v>
      </c>
      <c r="D2" s="122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123" t="s">
        <v>11</v>
      </c>
      <c r="R2" s="123"/>
      <c r="S2" s="123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ROUND((SUM(C13:C21)*0.1),-4)</f>
        <v>240000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25000</v>
      </c>
      <c r="D4" s="14"/>
      <c r="E4" t="s">
        <v>102</v>
      </c>
      <c r="G4" s="3" t="s">
        <v>14</v>
      </c>
      <c r="H4" s="12">
        <v>286</v>
      </c>
      <c r="I4" s="12">
        <f>240+321+301+290+412+250+351+302+310+300+135</f>
        <v>3212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H4*R7</f>
        <v>4290</v>
      </c>
      <c r="I5" s="35">
        <f t="shared" si="0"/>
        <v>32120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v>10000</v>
      </c>
      <c r="D6" s="14"/>
      <c r="E6" t="s">
        <v>103</v>
      </c>
      <c r="G6" s="3" t="s">
        <v>66</v>
      </c>
      <c r="H6" s="35">
        <v>0</v>
      </c>
      <c r="I6" s="35"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100</v>
      </c>
      <c r="R6" s="16">
        <v>450</v>
      </c>
      <c r="S6" s="16">
        <v>500</v>
      </c>
      <c r="T6" s="16">
        <v>550</v>
      </c>
      <c r="U6" s="16">
        <v>600</v>
      </c>
      <c r="V6" s="16">
        <v>700</v>
      </c>
      <c r="W6" s="16">
        <v>800</v>
      </c>
      <c r="X6" s="16">
        <v>1000</v>
      </c>
      <c r="Y6" s="16">
        <v>1250</v>
      </c>
    </row>
    <row r="7" spans="1:25" x14ac:dyDescent="0.25">
      <c r="A7" s="19">
        <v>3.01</v>
      </c>
      <c r="B7" s="9" t="s">
        <v>25</v>
      </c>
      <c r="C7" s="10">
        <f>ROUND((SUM(C13:C21)*0.05),-3)</f>
        <v>120000</v>
      </c>
      <c r="D7" s="14"/>
      <c r="E7" t="s">
        <v>26</v>
      </c>
      <c r="G7" s="3" t="s">
        <v>67</v>
      </c>
      <c r="H7" s="35">
        <v>0</v>
      </c>
      <c r="I7" s="35">
        <v>0</v>
      </c>
      <c r="J7" s="35">
        <v>0</v>
      </c>
      <c r="K7" s="35">
        <v>0</v>
      </c>
      <c r="L7" s="35">
        <f>L5*V7</f>
        <v>0</v>
      </c>
      <c r="M7" s="35">
        <f>M5*W7</f>
        <v>0</v>
      </c>
      <c r="N7" s="35">
        <f>N5*X7</f>
        <v>0</v>
      </c>
      <c r="O7" s="35">
        <f>O5*Y7</f>
        <v>0</v>
      </c>
      <c r="P7" s="35"/>
      <c r="Q7" s="3" t="s">
        <v>21</v>
      </c>
      <c r="R7" s="16">
        <v>15</v>
      </c>
      <c r="S7" s="16">
        <v>10</v>
      </c>
      <c r="T7" s="16">
        <v>10</v>
      </c>
      <c r="U7" s="16">
        <v>10</v>
      </c>
      <c r="V7" s="16">
        <v>12</v>
      </c>
      <c r="W7" s="16">
        <v>15</v>
      </c>
      <c r="X7" s="16">
        <v>15</v>
      </c>
      <c r="Y7" s="16">
        <v>20</v>
      </c>
    </row>
    <row r="8" spans="1:25" x14ac:dyDescent="0.25">
      <c r="A8" s="19">
        <v>3.02</v>
      </c>
      <c r="B8" s="9" t="s">
        <v>29</v>
      </c>
      <c r="C8" s="10">
        <f>ROUND((SUM(C13:C21)*0.05),-3)</f>
        <v>120000</v>
      </c>
      <c r="D8" s="14"/>
      <c r="E8" t="s">
        <v>68</v>
      </c>
      <c r="G8" s="3" t="s">
        <v>99</v>
      </c>
      <c r="H8" s="35">
        <f>H4*R6</f>
        <v>128700</v>
      </c>
      <c r="I8" s="35">
        <f>I4*S6</f>
        <v>1606000</v>
      </c>
      <c r="J8" s="35">
        <f t="shared" ref="J8:O8" si="2">J6*T7</f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"/>
      <c r="Q8" s="3" t="s">
        <v>24</v>
      </c>
      <c r="R8" s="18">
        <v>75</v>
      </c>
      <c r="S8" s="3"/>
      <c r="T8" s="15"/>
      <c r="U8" s="15"/>
      <c r="V8" s="15"/>
      <c r="W8" s="15"/>
      <c r="X8" s="15"/>
      <c r="Y8" s="15"/>
    </row>
    <row r="9" spans="1:25" x14ac:dyDescent="0.25">
      <c r="A9" s="19">
        <v>3.03</v>
      </c>
      <c r="B9" s="9" t="s">
        <v>33</v>
      </c>
      <c r="C9" s="10">
        <f>ROUND(((3*(SUM(H4:O4))/100)*$R$17),-3)</f>
        <v>185000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28</v>
      </c>
      <c r="R9" s="18">
        <v>200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ROUND((((H4+I4)/100)*4*200),-3)</f>
        <v>28000</v>
      </c>
      <c r="D10" s="14"/>
      <c r="E10" t="s">
        <v>104</v>
      </c>
      <c r="G10" s="3"/>
      <c r="H10" s="12">
        <f>SUM(H4:O4)</f>
        <v>3498</v>
      </c>
      <c r="I10" s="3"/>
      <c r="J10" s="3"/>
      <c r="K10" s="3"/>
      <c r="L10" s="3"/>
      <c r="M10" s="3"/>
      <c r="N10" s="3"/>
      <c r="O10" s="3"/>
      <c r="P10" s="3"/>
      <c r="Q10" s="3" t="s">
        <v>32</v>
      </c>
      <c r="R10" s="16">
        <v>1500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35</v>
      </c>
      <c r="R11" s="16">
        <v>4000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38</v>
      </c>
      <c r="R12" s="16">
        <v>1500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ROUND(((SUM(C14:C21))*0.05),-3)</f>
        <v>114000</v>
      </c>
      <c r="D13" s="22"/>
      <c r="E13" s="36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41</v>
      </c>
      <c r="R13" s="16">
        <v>3000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ROUND(((((SUM(H4:O4))/75))*$R$14),-3)</f>
        <v>163000</v>
      </c>
      <c r="D14" s="22"/>
      <c r="E14" s="36" t="s">
        <v>105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44</v>
      </c>
      <c r="R14" s="16">
        <v>3500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46</v>
      </c>
      <c r="R15" s="16">
        <v>10000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36000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75</v>
      </c>
      <c r="R16" s="16">
        <v>15000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 t="s">
        <v>48</v>
      </c>
      <c r="R17" s="16">
        <f>(160*8)+(160*1.5*2)</f>
        <v>1760</v>
      </c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101</v>
      </c>
      <c r="C19" s="25">
        <f>ROUND(((SUM(H8:O8))*1.2),-3)</f>
        <v>2082000</v>
      </c>
      <c r="D19" s="26"/>
      <c r="E19" s="111" t="s">
        <v>408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79</v>
      </c>
      <c r="C20" s="25"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19">
        <v>5.09</v>
      </c>
      <c r="B21" s="24" t="s">
        <v>80</v>
      </c>
      <c r="C21" s="25">
        <v>0</v>
      </c>
      <c r="D21" s="26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Bot="1" x14ac:dyDescent="0.3">
      <c r="A22" s="38">
        <v>6.1</v>
      </c>
      <c r="B22" s="28" t="s">
        <v>55</v>
      </c>
      <c r="C22" s="39">
        <f>ROUND((C3*0.075),-3)</f>
        <v>18000</v>
      </c>
      <c r="D22" s="30"/>
      <c r="E22" s="3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thickTop="1" x14ac:dyDescent="0.25">
      <c r="A23" s="31"/>
      <c r="B23" s="32" t="s">
        <v>56</v>
      </c>
      <c r="C23" s="33">
        <f>ROUNDUP((SUM(C3:C22)),-4)</f>
        <v>3150000</v>
      </c>
      <c r="D23" s="33">
        <f>SUM(D3:D22)</f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57</v>
      </c>
      <c r="C30" s="34">
        <f>SUM(C3:C6)</f>
        <v>275000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58</v>
      </c>
      <c r="C31" s="34">
        <f>SUM(C7:C9)</f>
        <v>425000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59</v>
      </c>
      <c r="C32" s="34">
        <f>SUM(C10:C22)</f>
        <v>2441000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B33" t="s">
        <v>60</v>
      </c>
      <c r="C33" s="34">
        <f>SUM(C30:C32)</f>
        <v>3141000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Q34" s="3"/>
      <c r="R34" s="3"/>
      <c r="S34" s="3"/>
      <c r="T34" s="3"/>
      <c r="U34" s="3"/>
      <c r="V34" s="3"/>
      <c r="W34" s="3"/>
      <c r="X34" s="3"/>
      <c r="Y34" s="3"/>
    </row>
    <row r="35" spans="1:25" x14ac:dyDescent="0.25">
      <c r="B35" t="s">
        <v>405</v>
      </c>
      <c r="C35" s="34">
        <f>C3/2</f>
        <v>120000</v>
      </c>
    </row>
    <row r="36" spans="1:25" x14ac:dyDescent="0.25">
      <c r="B36" t="s">
        <v>406</v>
      </c>
      <c r="C36" s="34">
        <f>(C3-C35)+C4+C5+C22</f>
        <v>163000</v>
      </c>
    </row>
    <row r="37" spans="1:25" x14ac:dyDescent="0.25">
      <c r="B37" t="s">
        <v>407</v>
      </c>
      <c r="C37" s="34">
        <f>SUM(C6:C21)</f>
        <v>2858000</v>
      </c>
    </row>
    <row r="38" spans="1:25" x14ac:dyDescent="0.25">
      <c r="A38">
        <v>1</v>
      </c>
      <c r="B38" t="s">
        <v>60</v>
      </c>
      <c r="C38" s="34">
        <f>SUM(C35:C37)</f>
        <v>3141000</v>
      </c>
    </row>
  </sheetData>
  <mergeCells count="2">
    <mergeCell ref="C2:D2"/>
    <mergeCell ref="Q2:S2"/>
  </mergeCells>
  <hyperlinks>
    <hyperlink ref="A1" location="'Matrix+Cover Sheet'!B41" display="Cover Sheet" xr:uid="{5FFAAAA1-CF9E-4E19-83D0-57BBB887A3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Matrix+Cover Sheet</vt:lpstr>
      <vt:lpstr>Techite</vt:lpstr>
      <vt:lpstr>2026 Pipe Bursting-v1</vt:lpstr>
      <vt:lpstr>2026 PB-Rancho Only</vt:lpstr>
      <vt:lpstr>2026 PB-Alto Only</vt:lpstr>
      <vt:lpstr>2026 PB-Feliz Only</vt:lpstr>
      <vt:lpstr>OCR Rehab</vt:lpstr>
      <vt:lpstr>Ojai ACP Rehab</vt:lpstr>
      <vt:lpstr>N.Vent Ave Improv.</vt:lpstr>
      <vt:lpstr>Barbara St MHs</vt:lpstr>
      <vt:lpstr>Redwood Bursting</vt:lpstr>
      <vt:lpstr>Lomita</vt:lpstr>
      <vt:lpstr>Pirie</vt:lpstr>
      <vt:lpstr>Prospect</vt:lpstr>
      <vt:lpstr>Foster Park</vt:lpstr>
      <vt:lpstr>SAC Siphon</vt:lpstr>
      <vt:lpstr>Creek Siphons</vt:lpstr>
      <vt:lpstr>Cast and Ductile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Dubrin</dc:creator>
  <cp:lastModifiedBy>Liz Dubrin</cp:lastModifiedBy>
  <dcterms:created xsi:type="dcterms:W3CDTF">2026-04-02T23:49:45Z</dcterms:created>
  <dcterms:modified xsi:type="dcterms:W3CDTF">2026-04-20T19:22:20Z</dcterms:modified>
</cp:coreProperties>
</file>